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29"/>
  <workbookPr/>
  <mc:AlternateContent xmlns:mc="http://schemas.openxmlformats.org/markup-compatibility/2006">
    <mc:Choice Requires="x15">
      <x15ac:absPath xmlns:x15ac="http://schemas.microsoft.com/office/spreadsheetml/2010/11/ac" url="Z:\teaching\active\courses\Singapore 2022\Exercises\"/>
    </mc:Choice>
  </mc:AlternateContent>
  <xr:revisionPtr revIDLastSave="0" documentId="11_EBC728E4D633A6558C882AD0D715868FBB0D1B27" xr6:coauthVersionLast="47" xr6:coauthVersionMax="47" xr10:uidLastSave="{00000000-0000-0000-0000-000000000000}"/>
  <bookViews>
    <workbookView xWindow="0" yWindow="465" windowWidth="27015" windowHeight="11385" firstSheet="5" activeTab="5" xr2:uid="{00000000-000D-0000-FFFF-FFFF00000000}"/>
  </bookViews>
  <sheets>
    <sheet name="Pearce" sheetId="3" r:id="rId1"/>
    <sheet name="for Chapter 4" sheetId="7" r:id="rId2"/>
    <sheet name="Exercise" sheetId="5" r:id="rId3"/>
    <sheet name="Exercise Solutions" sheetId="6" r:id="rId4"/>
    <sheet name="example 5 years" sheetId="1" r:id="rId5"/>
    <sheet name="example inc=.05" sheetId="4" r:id="rId6"/>
    <sheet name="Marie work inc=.05" sheetId="8" r:id="rId7"/>
  </sheet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0" i="7" l="1"/>
  <c r="P10" i="7" s="1"/>
  <c r="F29" i="7"/>
  <c r="F28" i="7"/>
  <c r="F26" i="7"/>
  <c r="F24" i="7"/>
  <c r="E28" i="7"/>
  <c r="B4" i="8"/>
  <c r="B5" i="8"/>
  <c r="B6" i="8"/>
  <c r="B7" i="8" s="1"/>
  <c r="D4" i="8"/>
  <c r="F4" i="8"/>
  <c r="H4" i="8" s="1"/>
  <c r="F5" i="8"/>
  <c r="J4" i="8"/>
  <c r="G5" i="8"/>
  <c r="C4" i="8"/>
  <c r="G4" i="8"/>
  <c r="C25" i="8"/>
  <c r="L30" i="8"/>
  <c r="N30" i="8"/>
  <c r="L31" i="8"/>
  <c r="N31" i="8" s="1"/>
  <c r="L32" i="8"/>
  <c r="N32" i="8"/>
  <c r="L33" i="8"/>
  <c r="N33" i="8"/>
  <c r="L34" i="8"/>
  <c r="N34" i="8"/>
  <c r="L35" i="8"/>
  <c r="N35" i="8" s="1"/>
  <c r="L36" i="8"/>
  <c r="N36" i="8"/>
  <c r="L37" i="8"/>
  <c r="N37" i="8"/>
  <c r="L38" i="8"/>
  <c r="N38" i="8"/>
  <c r="L39" i="8"/>
  <c r="N39" i="8" s="1"/>
  <c r="M40" i="8"/>
  <c r="D27" i="8"/>
  <c r="B30" i="8"/>
  <c r="B29" i="8"/>
  <c r="R7" i="8"/>
  <c r="D25" i="8"/>
  <c r="F22" i="8"/>
  <c r="S7" i="8"/>
  <c r="C5" i="6"/>
  <c r="C6" i="6" s="1"/>
  <c r="D5" i="6"/>
  <c r="F5" i="6"/>
  <c r="H5" i="6"/>
  <c r="I5" i="6"/>
  <c r="K5" i="6"/>
  <c r="R5" i="6" s="1"/>
  <c r="K6" i="6"/>
  <c r="L6" i="6" s="1"/>
  <c r="N5" i="6"/>
  <c r="P5" i="6"/>
  <c r="Q5" i="6" s="1"/>
  <c r="F6" i="6"/>
  <c r="H6" i="6" s="1"/>
  <c r="I6" i="6" s="1"/>
  <c r="N7" i="6"/>
  <c r="P7" i="6" s="1"/>
  <c r="Q7" i="6" s="1"/>
  <c r="K7" i="6"/>
  <c r="N6" i="6"/>
  <c r="P6" i="6" s="1"/>
  <c r="Q6" i="6"/>
  <c r="L5" i="6"/>
  <c r="E3" i="4"/>
  <c r="G3" i="4" s="1"/>
  <c r="B3" i="4"/>
  <c r="H3" i="4" s="1"/>
  <c r="N6" i="4"/>
  <c r="M6" i="4"/>
  <c r="B3" i="3"/>
  <c r="B4" i="3"/>
  <c r="E3" i="3"/>
  <c r="E4" i="3"/>
  <c r="E5" i="3"/>
  <c r="M6" i="3"/>
  <c r="L6" i="3"/>
  <c r="H24" i="3" s="1"/>
  <c r="I24" i="3" s="1"/>
  <c r="C3" i="3"/>
  <c r="D3" i="3"/>
  <c r="C4" i="3"/>
  <c r="G3" i="3"/>
  <c r="F3" i="3"/>
  <c r="O3" i="3"/>
  <c r="K7" i="1"/>
  <c r="J7" i="1"/>
  <c r="E3" i="1"/>
  <c r="B3" i="1"/>
  <c r="B4" i="1"/>
  <c r="H3" i="1"/>
  <c r="F3" i="1"/>
  <c r="H3" i="3" l="1"/>
  <c r="J3" i="3" s="1"/>
  <c r="L4" i="8"/>
  <c r="D5" i="8"/>
  <c r="C5" i="8"/>
  <c r="F3" i="4"/>
  <c r="E4" i="4"/>
  <c r="E6" i="3"/>
  <c r="G6" i="3" s="1"/>
  <c r="F5" i="3"/>
  <c r="F4" i="3"/>
  <c r="G5" i="3"/>
  <c r="G4" i="3"/>
  <c r="B5" i="1"/>
  <c r="C5" i="1" s="1"/>
  <c r="C3" i="1"/>
  <c r="D3" i="1"/>
  <c r="C4" i="1"/>
  <c r="D4" i="1"/>
  <c r="G3" i="1"/>
  <c r="E4" i="1"/>
  <c r="G4" i="1" s="1"/>
  <c r="C7" i="6"/>
  <c r="F7" i="6"/>
  <c r="H7" i="6" s="1"/>
  <c r="I7" i="6" s="1"/>
  <c r="D6" i="6"/>
  <c r="R6" i="6"/>
  <c r="B5" i="3"/>
  <c r="C5" i="3"/>
  <c r="D5" i="3"/>
  <c r="O5" i="3" s="1"/>
  <c r="H4" i="3"/>
  <c r="K8" i="6"/>
  <c r="L8" i="6" s="1"/>
  <c r="N40" i="8"/>
  <c r="Q40" i="8" s="1"/>
  <c r="R40" i="8" s="1"/>
  <c r="D3" i="4"/>
  <c r="B4" i="4"/>
  <c r="C3" i="4"/>
  <c r="D4" i="3"/>
  <c r="O4" i="3" s="1"/>
  <c r="N8" i="6"/>
  <c r="P8" i="6" s="1"/>
  <c r="Q8" i="6" s="1"/>
  <c r="H5" i="8"/>
  <c r="K5" i="8" s="1"/>
  <c r="O5" i="8" s="1"/>
  <c r="A29" i="8"/>
  <c r="C29" i="8" s="1"/>
  <c r="M4" i="8"/>
  <c r="C7" i="8"/>
  <c r="B8" i="8"/>
  <c r="L7" i="6"/>
  <c r="F6" i="8"/>
  <c r="C6" i="8"/>
  <c r="K4" i="8"/>
  <c r="O4" i="8" s="1"/>
  <c r="D6" i="8"/>
  <c r="D7" i="8" s="1"/>
  <c r="J5" i="8"/>
  <c r="H6" i="8" l="1"/>
  <c r="J6" i="8"/>
  <c r="E5" i="4"/>
  <c r="F4" i="4"/>
  <c r="G4" i="4"/>
  <c r="F8" i="6"/>
  <c r="H8" i="6" s="1"/>
  <c r="I8" i="6" s="1"/>
  <c r="R7" i="6"/>
  <c r="C8" i="6"/>
  <c r="D8" i="6"/>
  <c r="B9" i="8"/>
  <c r="C9" i="8"/>
  <c r="L5" i="8"/>
  <c r="A30" i="8"/>
  <c r="C30" i="8" s="1"/>
  <c r="J3" i="4"/>
  <c r="I3" i="4"/>
  <c r="K9" i="6"/>
  <c r="L9" i="6"/>
  <c r="N9" i="6"/>
  <c r="P9" i="6" s="1"/>
  <c r="Q9" i="6" s="1"/>
  <c r="M4" i="1"/>
  <c r="F7" i="8"/>
  <c r="H7" i="8"/>
  <c r="L7" i="8" s="1"/>
  <c r="B31" i="8"/>
  <c r="G6" i="8"/>
  <c r="C8" i="8"/>
  <c r="J4" i="3"/>
  <c r="B6" i="1"/>
  <c r="D6" i="1"/>
  <c r="D5" i="1"/>
  <c r="L6" i="8"/>
  <c r="M6" i="8" s="1"/>
  <c r="N6" i="8" s="1"/>
  <c r="P6" i="8" s="1"/>
  <c r="K6" i="8"/>
  <c r="O6" i="8" s="1"/>
  <c r="A31" i="8"/>
  <c r="E5" i="1"/>
  <c r="H5" i="1" s="1"/>
  <c r="G5" i="1"/>
  <c r="F4" i="1"/>
  <c r="F5" i="1"/>
  <c r="D7" i="6"/>
  <c r="M3" i="1"/>
  <c r="D8" i="8"/>
  <c r="N4" i="8"/>
  <c r="C4" i="4"/>
  <c r="B5" i="4"/>
  <c r="H4" i="4"/>
  <c r="D4" i="4"/>
  <c r="H5" i="3"/>
  <c r="J5" i="3" s="1"/>
  <c r="B6" i="3"/>
  <c r="C6" i="3"/>
  <c r="D6" i="3"/>
  <c r="O6" i="3" s="1"/>
  <c r="H4" i="1"/>
  <c r="E7" i="3"/>
  <c r="F6" i="3"/>
  <c r="G7" i="3"/>
  <c r="M5" i="1" l="1"/>
  <c r="M7" i="8"/>
  <c r="D9" i="8"/>
  <c r="E6" i="4"/>
  <c r="F6" i="4"/>
  <c r="G5" i="4"/>
  <c r="F5" i="4"/>
  <c r="H5" i="4"/>
  <c r="B6" i="4"/>
  <c r="C6" i="4" s="1"/>
  <c r="B7" i="1"/>
  <c r="D7" i="1"/>
  <c r="A32" i="8"/>
  <c r="F8" i="8"/>
  <c r="G8" i="8" s="1"/>
  <c r="B32" i="8"/>
  <c r="J7" i="8"/>
  <c r="N7" i="8" s="1"/>
  <c r="P7" i="8" s="1"/>
  <c r="P4" i="8"/>
  <c r="E8" i="3"/>
  <c r="G8" i="3"/>
  <c r="B10" i="8"/>
  <c r="C10" i="8" s="1"/>
  <c r="H6" i="3"/>
  <c r="J6" i="3" s="1"/>
  <c r="B7" i="3"/>
  <c r="D7" i="3"/>
  <c r="O7" i="3" s="1"/>
  <c r="C6" i="1"/>
  <c r="K7" i="8"/>
  <c r="O7" i="8" s="1"/>
  <c r="J4" i="4"/>
  <c r="I4" i="4"/>
  <c r="C31" i="8"/>
  <c r="F7" i="3"/>
  <c r="D5" i="4"/>
  <c r="D6" i="4" s="1"/>
  <c r="E6" i="1"/>
  <c r="F6" i="1" s="1"/>
  <c r="G6" i="1"/>
  <c r="M6" i="1" s="1"/>
  <c r="M5" i="8"/>
  <c r="C9" i="6"/>
  <c r="D9" i="6"/>
  <c r="F9" i="6"/>
  <c r="H9" i="6" s="1"/>
  <c r="I9" i="6" s="1"/>
  <c r="R8" i="6"/>
  <c r="K10" i="6"/>
  <c r="N10" i="6"/>
  <c r="P10" i="6" s="1"/>
  <c r="Q10" i="6" s="1"/>
  <c r="L10" i="6"/>
  <c r="C5" i="4"/>
  <c r="G7" i="8"/>
  <c r="G6" i="4" l="1"/>
  <c r="E7" i="4"/>
  <c r="B8" i="3"/>
  <c r="H7" i="3"/>
  <c r="E9" i="3"/>
  <c r="F9" i="3" s="1"/>
  <c r="G9" i="3"/>
  <c r="H8" i="8"/>
  <c r="B9" i="1"/>
  <c r="E7" i="1"/>
  <c r="I6" i="4"/>
  <c r="J6" i="4"/>
  <c r="F9" i="8"/>
  <c r="H9" i="8"/>
  <c r="J8" i="8"/>
  <c r="B33" i="8"/>
  <c r="B11" i="8"/>
  <c r="C11" i="8"/>
  <c r="C10" i="6"/>
  <c r="R9" i="6"/>
  <c r="F10" i="6"/>
  <c r="H10" i="6" s="1"/>
  <c r="I10" i="6" s="1"/>
  <c r="J5" i="4"/>
  <c r="I5" i="4"/>
  <c r="C32" i="8"/>
  <c r="B7" i="4"/>
  <c r="D7" i="4"/>
  <c r="C7" i="4"/>
  <c r="H6" i="4"/>
  <c r="N5" i="8"/>
  <c r="D10" i="8"/>
  <c r="D11" i="8" s="1"/>
  <c r="C7" i="1"/>
  <c r="K11" i="6"/>
  <c r="N11" i="6"/>
  <c r="P11" i="6" s="1"/>
  <c r="Q11" i="6" s="1"/>
  <c r="L11" i="6"/>
  <c r="C7" i="3"/>
  <c r="F8" i="3"/>
  <c r="H6" i="1"/>
  <c r="G7" i="1" l="1"/>
  <c r="M7" i="1" s="1"/>
  <c r="H7" i="1"/>
  <c r="G7" i="4"/>
  <c r="E8" i="4"/>
  <c r="G8" i="4"/>
  <c r="F7" i="4"/>
  <c r="H8" i="3"/>
  <c r="B9" i="3"/>
  <c r="F10" i="8"/>
  <c r="J9" i="8"/>
  <c r="B34" i="8"/>
  <c r="B12" i="8"/>
  <c r="C12" i="8" s="1"/>
  <c r="F7" i="1"/>
  <c r="J6" i="1"/>
  <c r="K6" i="1"/>
  <c r="L9" i="8"/>
  <c r="A34" i="8"/>
  <c r="C34" i="8" s="1"/>
  <c r="K9" i="8"/>
  <c r="O9" i="8" s="1"/>
  <c r="E10" i="3"/>
  <c r="J7" i="4"/>
  <c r="I7" i="4"/>
  <c r="R10" i="6"/>
  <c r="C11" i="6"/>
  <c r="D11" i="6"/>
  <c r="F11" i="6"/>
  <c r="H11" i="6" s="1"/>
  <c r="I11" i="6" s="1"/>
  <c r="C8" i="3"/>
  <c r="G9" i="8"/>
  <c r="B10" i="1"/>
  <c r="B11" i="1"/>
  <c r="P5" i="8"/>
  <c r="A33" i="8"/>
  <c r="C33" i="8" s="1"/>
  <c r="K8" i="8"/>
  <c r="O8" i="8" s="1"/>
  <c r="L8" i="8"/>
  <c r="E9" i="1"/>
  <c r="E12" i="1"/>
  <c r="K12" i="6"/>
  <c r="N12" i="6"/>
  <c r="P12" i="6" s="1"/>
  <c r="Q12" i="6" s="1"/>
  <c r="J8" i="1"/>
  <c r="H7" i="4"/>
  <c r="B8" i="4"/>
  <c r="D8" i="4" s="1"/>
  <c r="D10" i="6"/>
  <c r="J7" i="3"/>
  <c r="K8" i="1"/>
  <c r="B12" i="1"/>
  <c r="I12" i="1" s="1"/>
  <c r="D8" i="3"/>
  <c r="O8" i="3" s="1"/>
  <c r="K5" i="1" l="1"/>
  <c r="J5" i="1"/>
  <c r="F10" i="3"/>
  <c r="G10" i="3"/>
  <c r="N8" i="1"/>
  <c r="O8" i="1" s="1"/>
  <c r="C8" i="4"/>
  <c r="E9" i="4"/>
  <c r="F8" i="4"/>
  <c r="J8" i="4"/>
  <c r="I8" i="4"/>
  <c r="M8" i="8"/>
  <c r="F11" i="8"/>
  <c r="G11" i="8" s="1"/>
  <c r="B35" i="8"/>
  <c r="J10" i="8"/>
  <c r="P8" i="1"/>
  <c r="L7" i="1"/>
  <c r="L8" i="1"/>
  <c r="L6" i="1"/>
  <c r="D12" i="8"/>
  <c r="B10" i="3"/>
  <c r="H9" i="3"/>
  <c r="D10" i="3"/>
  <c r="O10" i="3" s="1"/>
  <c r="E11" i="3"/>
  <c r="F11" i="3" s="1"/>
  <c r="G11" i="3"/>
  <c r="M9" i="8"/>
  <c r="N9" i="8" s="1"/>
  <c r="P9" i="8" s="1"/>
  <c r="C9" i="3"/>
  <c r="D9" i="3"/>
  <c r="O9" i="3" s="1"/>
  <c r="B13" i="8"/>
  <c r="D13" i="8" s="1"/>
  <c r="C13" i="8"/>
  <c r="C14" i="8" s="1"/>
  <c r="N13" i="6"/>
  <c r="P13" i="6" s="1"/>
  <c r="Q13" i="6" s="1"/>
  <c r="K13" i="6"/>
  <c r="L13" i="6"/>
  <c r="G10" i="8"/>
  <c r="J8" i="3"/>
  <c r="H8" i="4"/>
  <c r="B9" i="4"/>
  <c r="C9" i="4" s="1"/>
  <c r="L12" i="6"/>
  <c r="R11" i="6"/>
  <c r="C12" i="6"/>
  <c r="D12" i="6" s="1"/>
  <c r="F12" i="6"/>
  <c r="H12" i="6" s="1"/>
  <c r="I12" i="6" s="1"/>
  <c r="E11" i="1"/>
  <c r="I11" i="1" s="1"/>
  <c r="E10" i="1"/>
  <c r="I10" i="1"/>
  <c r="H10" i="8"/>
  <c r="J9" i="3" l="1"/>
  <c r="G9" i="4"/>
  <c r="E10" i="4"/>
  <c r="G10" i="4"/>
  <c r="F9" i="4"/>
  <c r="N8" i="8"/>
  <c r="H9" i="4"/>
  <c r="B10" i="4"/>
  <c r="C10" i="4"/>
  <c r="H10" i="3"/>
  <c r="J10" i="3" s="1"/>
  <c r="B11" i="3"/>
  <c r="D11" i="3"/>
  <c r="O11" i="3" s="1"/>
  <c r="D9" i="4"/>
  <c r="N14" i="6"/>
  <c r="P14" i="6" s="1"/>
  <c r="Q14" i="6" s="1"/>
  <c r="K14" i="6"/>
  <c r="L14" i="6" s="1"/>
  <c r="L15" i="6" s="1"/>
  <c r="C10" i="3"/>
  <c r="F12" i="8"/>
  <c r="J11" i="8"/>
  <c r="B36" i="8"/>
  <c r="K10" i="8"/>
  <c r="O10" i="8" s="1"/>
  <c r="A35" i="8"/>
  <c r="C35" i="8" s="1"/>
  <c r="L10" i="8"/>
  <c r="H11" i="8"/>
  <c r="C13" i="6"/>
  <c r="D13" i="6"/>
  <c r="F13" i="6"/>
  <c r="H13" i="6" s="1"/>
  <c r="I13" i="6" s="1"/>
  <c r="R12" i="6"/>
  <c r="B20" i="8"/>
  <c r="B19" i="8"/>
  <c r="B16" i="8"/>
  <c r="E12" i="3"/>
  <c r="G12" i="3" s="1"/>
  <c r="G13" i="3" s="1"/>
  <c r="H12" i="8" l="1"/>
  <c r="F10" i="4"/>
  <c r="E11" i="4"/>
  <c r="A37" i="8"/>
  <c r="L12" i="8"/>
  <c r="K12" i="8"/>
  <c r="O12" i="8" s="1"/>
  <c r="B18" i="8"/>
  <c r="B17" i="8"/>
  <c r="L11" i="8"/>
  <c r="M11" i="8" s="1"/>
  <c r="N11" i="8" s="1"/>
  <c r="P11" i="8" s="1"/>
  <c r="A36" i="8"/>
  <c r="C36" i="8" s="1"/>
  <c r="K11" i="8"/>
  <c r="O11" i="8" s="1"/>
  <c r="J9" i="4"/>
  <c r="I9" i="4"/>
  <c r="P8" i="8"/>
  <c r="F12" i="3"/>
  <c r="F13" i="3" s="1"/>
  <c r="F14" i="6"/>
  <c r="H14" i="6" s="1"/>
  <c r="I14" i="6" s="1"/>
  <c r="R13" i="6"/>
  <c r="C14" i="6"/>
  <c r="R14" i="6" s="1"/>
  <c r="E15" i="3"/>
  <c r="D10" i="4"/>
  <c r="F13" i="8"/>
  <c r="G13" i="8" s="1"/>
  <c r="B37" i="8"/>
  <c r="J12" i="8"/>
  <c r="G12" i="8"/>
  <c r="B12" i="3"/>
  <c r="H11" i="3"/>
  <c r="J11" i="3" s="1"/>
  <c r="C12" i="3"/>
  <c r="D12" i="3"/>
  <c r="M10" i="8"/>
  <c r="C11" i="3"/>
  <c r="H10" i="4"/>
  <c r="B11" i="4"/>
  <c r="G14" i="8" l="1"/>
  <c r="C37" i="8"/>
  <c r="F11" i="4"/>
  <c r="G11" i="4"/>
  <c r="E12" i="4"/>
  <c r="F12" i="4"/>
  <c r="F13" i="4" s="1"/>
  <c r="S8" i="8"/>
  <c r="R8" i="8"/>
  <c r="C26" i="8" s="1"/>
  <c r="D26" i="8" s="1"/>
  <c r="E18" i="3"/>
  <c r="O12" i="3"/>
  <c r="D13" i="3"/>
  <c r="O13" i="3" s="1"/>
  <c r="I10" i="4"/>
  <c r="J10" i="4"/>
  <c r="N10" i="8"/>
  <c r="F20" i="8"/>
  <c r="K20" i="8" s="1"/>
  <c r="F19" i="8"/>
  <c r="K19" i="8" s="1"/>
  <c r="F16" i="8"/>
  <c r="J13" i="8"/>
  <c r="B38" i="8"/>
  <c r="R6" i="8"/>
  <c r="S6" i="8"/>
  <c r="C24" i="8"/>
  <c r="D24" i="8" s="1"/>
  <c r="H11" i="4"/>
  <c r="B12" i="4"/>
  <c r="C12" i="4" s="1"/>
  <c r="E17" i="3"/>
  <c r="E16" i="3"/>
  <c r="C11" i="4"/>
  <c r="C13" i="3"/>
  <c r="M7" i="3"/>
  <c r="L7" i="3"/>
  <c r="H13" i="8"/>
  <c r="D14" i="6"/>
  <c r="D15" i="6" s="1"/>
  <c r="D11" i="4"/>
  <c r="L5" i="3"/>
  <c r="H23" i="3" s="1"/>
  <c r="I23" i="3" s="1"/>
  <c r="M5" i="3"/>
  <c r="B18" i="3"/>
  <c r="I18" i="3" s="1"/>
  <c r="H12" i="3"/>
  <c r="J12" i="3" s="1"/>
  <c r="J13" i="3" s="1"/>
  <c r="B15" i="3"/>
  <c r="M12" i="8"/>
  <c r="N12" i="8" s="1"/>
  <c r="P12" i="8" s="1"/>
  <c r="N7" i="4" l="1"/>
  <c r="G12" i="4"/>
  <c r="E15" i="4"/>
  <c r="E18" i="4"/>
  <c r="I11" i="4"/>
  <c r="J11" i="4"/>
  <c r="P10" i="8"/>
  <c r="P7" i="3"/>
  <c r="Q7" i="3" s="1"/>
  <c r="N5" i="4"/>
  <c r="B18" i="4"/>
  <c r="I18" i="4" s="1"/>
  <c r="H12" i="4"/>
  <c r="B15" i="4"/>
  <c r="M5" i="4"/>
  <c r="C13" i="4"/>
  <c r="M7" i="4"/>
  <c r="L13" i="8"/>
  <c r="A38" i="8"/>
  <c r="C38" i="8" s="1"/>
  <c r="K13" i="8"/>
  <c r="O13" i="8" s="1"/>
  <c r="B17" i="3"/>
  <c r="I17" i="3" s="1"/>
  <c r="B16" i="3"/>
  <c r="I16" i="3" s="1"/>
  <c r="L4" i="3"/>
  <c r="M4" i="3"/>
  <c r="F18" i="8"/>
  <c r="K18" i="8" s="1"/>
  <c r="F17" i="8"/>
  <c r="K17" i="8" s="1"/>
  <c r="R5" i="8"/>
  <c r="S5" i="8"/>
  <c r="L8" i="3"/>
  <c r="H25" i="3"/>
  <c r="I25" i="3" s="1"/>
  <c r="K14" i="3"/>
  <c r="K15" i="3" s="1"/>
  <c r="D12" i="4"/>
  <c r="E17" i="4" l="1"/>
  <c r="E16" i="4"/>
  <c r="M13" i="8"/>
  <c r="V5" i="8"/>
  <c r="W5" i="8" s="1"/>
  <c r="K16" i="3"/>
  <c r="N5" i="3"/>
  <c r="N7" i="3"/>
  <c r="N6" i="3"/>
  <c r="R7" i="3"/>
  <c r="N4" i="4"/>
  <c r="B16" i="4"/>
  <c r="I16" i="4" s="1"/>
  <c r="B17" i="4"/>
  <c r="I17" i="4" s="1"/>
  <c r="M4" i="4"/>
  <c r="X5" i="8"/>
  <c r="T8" i="8"/>
  <c r="T7" i="8"/>
  <c r="T6" i="8"/>
  <c r="J12" i="4"/>
  <c r="I12" i="4"/>
  <c r="O5" i="4" l="1"/>
  <c r="O7" i="4"/>
  <c r="O6" i="4"/>
  <c r="N13" i="8"/>
  <c r="M14" i="8"/>
  <c r="P13" i="8" l="1"/>
  <c r="N14" i="8"/>
  <c r="R9" i="8" s="1"/>
  <c r="S9" i="8" s="1"/>
  <c r="T9" i="8" s="1"/>
</calcChain>
</file>

<file path=xl/sharedStrings.xml><?xml version="1.0" encoding="utf-8"?>
<sst xmlns="http://schemas.openxmlformats.org/spreadsheetml/2006/main" count="254" uniqueCount="107">
  <si>
    <t>Year</t>
  </si>
  <si>
    <t>exposed</t>
  </si>
  <si>
    <t>midyr pop</t>
  </si>
  <si>
    <t>Cases</t>
  </si>
  <si>
    <t>unexposed</t>
  </si>
  <si>
    <t>prop non-cases exp</t>
  </si>
  <si>
    <t>num con cont exp</t>
  </si>
  <si>
    <t>Total cases</t>
  </si>
  <si>
    <t>prop exposed</t>
  </si>
  <si>
    <t>odds exp</t>
  </si>
  <si>
    <t>OR</t>
  </si>
  <si>
    <t>cases</t>
  </si>
  <si>
    <t xml:space="preserve">exlcusive controls </t>
  </si>
  <si>
    <t>inclusive controls</t>
  </si>
  <si>
    <t>prop ex con</t>
  </si>
  <si>
    <t>odds</t>
  </si>
  <si>
    <t>concurrent control p-yrs</t>
  </si>
  <si>
    <t>n con cont exp</t>
  </si>
  <si>
    <t>prop</t>
  </si>
  <si>
    <t>inc prop</t>
  </si>
  <si>
    <t>RR</t>
  </si>
  <si>
    <t>inc odds</t>
  </si>
  <si>
    <t>incOR</t>
  </si>
  <si>
    <t>inc</t>
  </si>
  <si>
    <t>IRR</t>
  </si>
  <si>
    <t>V&amp;P</t>
  </si>
  <si>
    <t>Exposed</t>
  </si>
  <si>
    <t>Unexposed</t>
  </si>
  <si>
    <t>Own</t>
  </si>
  <si>
    <t>Controls</t>
  </si>
  <si>
    <t>Exclusive</t>
  </si>
  <si>
    <t>Inclusive</t>
  </si>
  <si>
    <t>Concurrent</t>
  </si>
  <si>
    <t xml:space="preserve">prop non-cases </t>
  </si>
  <si>
    <t>incident</t>
  </si>
  <si>
    <t xml:space="preserve">exposed </t>
  </si>
  <si>
    <t>at risk</t>
  </si>
  <si>
    <t>con controls</t>
  </si>
  <si>
    <t>Total</t>
  </si>
  <si>
    <t>cumulative</t>
  </si>
  <si>
    <t xml:space="preserve"> incidence =</t>
  </si>
  <si>
    <t xml:space="preserve">4013/10000=0,40 </t>
  </si>
  <si>
    <t>956/10000=0,096</t>
  </si>
  <si>
    <t>RR=</t>
  </si>
  <si>
    <t>odds=</t>
  </si>
  <si>
    <t>incOR=</t>
  </si>
  <si>
    <t>incidence rate (py) =</t>
  </si>
  <si>
    <t>4013/78246=0,05</t>
  </si>
  <si>
    <t>956/95140=0,01</t>
  </si>
  <si>
    <t>IRR=</t>
  </si>
  <si>
    <t>Odds</t>
  </si>
  <si>
    <t>exp</t>
  </si>
  <si>
    <t>Concur</t>
  </si>
  <si>
    <t>Concur(py)</t>
  </si>
  <si>
    <r>
      <rPr>
        <b/>
        <sz val="11"/>
        <color theme="1"/>
        <rFont val="Calibri"/>
        <family val="2"/>
        <scheme val="minor"/>
      </rPr>
      <t xml:space="preserve">Exercise 1: </t>
    </r>
    <r>
      <rPr>
        <sz val="11"/>
        <color theme="1"/>
        <rFont val="Calibri"/>
        <family val="2"/>
        <charset val="1"/>
        <scheme val="minor"/>
      </rPr>
      <t>Given the initial population and the incidence rate (IR) below for the exposed and unexposed groups, fill in the rest of the table.</t>
    </r>
  </si>
  <si>
    <t>End of Year</t>
  </si>
  <si>
    <t>Exposed &amp; At Risk</t>
  </si>
  <si>
    <t>Mid-year Population</t>
  </si>
  <si>
    <t>IR</t>
  </si>
  <si>
    <t># Cases/yr</t>
  </si>
  <si>
    <t>At-risk Person-years</t>
  </si>
  <si>
    <t>Cases   Person-years</t>
  </si>
  <si>
    <t>Total   Person-years</t>
  </si>
  <si>
    <t>Unexposed &amp; At Risk</t>
  </si>
  <si>
    <t>Prop. Non-cases exposed</t>
  </si>
  <si>
    <t>Prop. Cases exposed</t>
  </si>
  <si>
    <t>Total Cases</t>
  </si>
  <si>
    <t>Initial</t>
  </si>
  <si>
    <t>Total person-years:</t>
  </si>
  <si>
    <r>
      <rPr>
        <b/>
        <sz val="11"/>
        <color theme="1"/>
        <rFont val="Calibri"/>
        <family val="2"/>
        <scheme val="minor"/>
      </rPr>
      <t xml:space="preserve">Exercise 2: </t>
    </r>
    <r>
      <rPr>
        <sz val="11"/>
        <color theme="1"/>
        <rFont val="Calibri"/>
        <family val="2"/>
        <charset val="1"/>
        <scheme val="minor"/>
      </rPr>
      <t>Calculate the incidence proportion and incidence odds for both the exposed and unexposed, then calculate the relative risk, incidence odds ratio, and incidence rate ratio.</t>
    </r>
  </si>
  <si>
    <t xml:space="preserve">Relative Risk  </t>
  </si>
  <si>
    <t xml:space="preserve">Incidence Proportion </t>
  </si>
  <si>
    <t>Incidence Odds Ratio</t>
  </si>
  <si>
    <t>Incidence Odds</t>
  </si>
  <si>
    <t>Incidence Rate Ratio</t>
  </si>
  <si>
    <r>
      <rPr>
        <b/>
        <sz val="11"/>
        <color theme="1"/>
        <rFont val="Calibri"/>
        <family val="2"/>
        <scheme val="minor"/>
      </rPr>
      <t xml:space="preserve">Exercise 3: </t>
    </r>
    <r>
      <rPr>
        <sz val="11"/>
        <color theme="1"/>
        <rFont val="Calibri"/>
        <family val="2"/>
        <charset val="1"/>
        <scheme val="minor"/>
      </rPr>
      <t xml:space="preserve">Determine the proportion exposed and the odds exposed of cases, and controls either generally or sampled by exclusive, inclusive, and concurrent sampling. Based on the calculated odds exposed, calculate the odds ratios for each type of control. </t>
    </r>
  </si>
  <si>
    <t>Proportion Exposed</t>
  </si>
  <si>
    <t>Odds Exposed</t>
  </si>
  <si>
    <t>Odds Ratio</t>
  </si>
  <si>
    <t>Exclusively Sampled Controls</t>
  </si>
  <si>
    <t>Inclusively Sampled Controls</t>
  </si>
  <si>
    <t>Concurrently Sampled Controls</t>
  </si>
  <si>
    <t>Answer:</t>
  </si>
  <si>
    <t>total cases</t>
  </si>
  <si>
    <t xml:space="preserve">ex controls </t>
  </si>
  <si>
    <t>inc controls</t>
  </si>
  <si>
    <t>con control py</t>
  </si>
  <si>
    <t>prop cases exp</t>
  </si>
  <si>
    <t>cum inc prop</t>
  </si>
  <si>
    <t>cum inc odds</t>
  </si>
  <si>
    <t>inc(py)</t>
  </si>
  <si>
    <t xml:space="preserve"> </t>
  </si>
  <si>
    <t>incident cases</t>
  </si>
  <si>
    <t>concur controls exp</t>
  </si>
  <si>
    <t>odds cases exp</t>
  </si>
  <si>
    <t>odds con contr exp</t>
  </si>
  <si>
    <t>prop controls exp</t>
  </si>
  <si>
    <t>odds of cont exp</t>
  </si>
  <si>
    <t>not new cases!</t>
  </si>
  <si>
    <t>concurrent control @1yr</t>
  </si>
  <si>
    <t>inc(1yr all)</t>
  </si>
  <si>
    <t>con(1yr)</t>
  </si>
  <si>
    <t>total noncases</t>
  </si>
  <si>
    <t>prop midyr exp</t>
  </si>
  <si>
    <t>inc cases</t>
  </si>
  <si>
    <t>mid yr con exp</t>
  </si>
  <si>
    <t>unexp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</si>
</sst>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0.00000"/>
    <numFmt numFmtId="167" formatCode="0.0"/>
  </numFmts>
  <fonts count="8">
    <font>
      <sz val="11"/>
      <color theme="1"/>
      <name val="Calibri"/>
      <family val="2"/>
      <charset val="1"/>
      <scheme val="minor"/>
    </font>
    <font>
      <sz val="11"/>
      <color theme="1"/>
      <name val="Calibri"/>
      <family val="2"/>
      <scheme val="minor"/>
    </font>
    <font>
      <b/>
      <sz val="11"/>
      <color theme="1"/>
      <name val="Calibri"/>
      <family val="2"/>
      <scheme val="minor"/>
    </font>
    <font>
      <b/>
      <u/>
      <sz val="11"/>
      <color theme="1"/>
      <name val="Calibri"/>
      <family val="2"/>
      <scheme val="minor"/>
    </font>
    <font>
      <sz val="11"/>
      <name val="Calibri"/>
      <family val="2"/>
      <charset val="1"/>
      <scheme val="minor"/>
    </font>
    <font>
      <sz val="8"/>
      <name val="Calibri"/>
      <family val="2"/>
      <charset val="1"/>
      <scheme val="minor"/>
    </font>
    <font>
      <u/>
      <sz val="11"/>
      <color theme="10"/>
      <name val="Calibri"/>
      <family val="2"/>
      <charset val="1"/>
      <scheme val="minor"/>
    </font>
    <font>
      <u/>
      <sz val="11"/>
      <color theme="11"/>
      <name val="Calibri"/>
      <family val="2"/>
      <charset val="1"/>
      <scheme val="minor"/>
    </font>
  </fonts>
  <fills count="8">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4" tint="0.79998168889431442"/>
        <bgColor indexed="64"/>
      </patternFill>
    </fill>
  </fills>
  <borders count="1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medium">
        <color auto="1"/>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32">
    <xf numFmtId="0" fontId="0" fillId="0" borderId="0" xfId="0"/>
    <xf numFmtId="1" fontId="0" fillId="0" borderId="0" xfId="0" applyNumberFormat="1"/>
    <xf numFmtId="2" fontId="0" fillId="0" borderId="0" xfId="0" applyNumberFormat="1"/>
    <xf numFmtId="164" fontId="0" fillId="0" borderId="0" xfId="0" applyNumberFormat="1"/>
    <xf numFmtId="165" fontId="0" fillId="0" borderId="0" xfId="0" applyNumberFormat="1"/>
    <xf numFmtId="166" fontId="0" fillId="0" borderId="0" xfId="0" applyNumberFormat="1"/>
    <xf numFmtId="0" fontId="2" fillId="0" borderId="0" xfId="0" applyFont="1" applyAlignment="1">
      <alignment horizontal="right"/>
    </xf>
    <xf numFmtId="0" fontId="0" fillId="0" borderId="0" xfId="0" applyAlignment="1">
      <alignment horizontal="center"/>
    </xf>
    <xf numFmtId="1" fontId="0" fillId="0" borderId="0" xfId="0" applyNumberFormat="1" applyAlignment="1">
      <alignment horizontal="center"/>
    </xf>
    <xf numFmtId="0" fontId="0" fillId="0" borderId="0" xfId="0" applyAlignment="1">
      <alignment horizontal="center" vertical="center"/>
    </xf>
    <xf numFmtId="1" fontId="0" fillId="0" borderId="0" xfId="0" applyNumberFormat="1" applyAlignment="1">
      <alignment horizontal="center" vertical="center"/>
    </xf>
    <xf numFmtId="165" fontId="0" fillId="0" borderId="0" xfId="0" applyNumberFormat="1" applyAlignment="1">
      <alignment horizontal="center" vertical="center"/>
    </xf>
    <xf numFmtId="0" fontId="0" fillId="0" borderId="0" xfId="0" applyAlignment="1">
      <alignment vertical="center"/>
    </xf>
    <xf numFmtId="9" fontId="0" fillId="0" borderId="0" xfId="0" applyNumberFormat="1" applyAlignment="1">
      <alignment horizontal="center"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 fontId="0" fillId="0" borderId="7" xfId="0" applyNumberFormat="1" applyBorder="1" applyAlignment="1">
      <alignment horizontal="center"/>
    </xf>
    <xf numFmtId="1" fontId="0" fillId="0" borderId="7" xfId="0" applyNumberFormat="1" applyBorder="1" applyAlignment="1">
      <alignment horizontal="center" vertical="center"/>
    </xf>
    <xf numFmtId="0" fontId="0" fillId="0" borderId="7" xfId="0" applyBorder="1"/>
    <xf numFmtId="0" fontId="2" fillId="0" borderId="9" xfId="0" applyFont="1"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wrapText="1"/>
    </xf>
    <xf numFmtId="0" fontId="1" fillId="0" borderId="3" xfId="0" applyFont="1" applyBorder="1" applyAlignment="1">
      <alignment horizontal="right" vertical="center" wrapText="1"/>
    </xf>
    <xf numFmtId="0" fontId="1" fillId="0" borderId="5" xfId="0" applyFont="1" applyBorder="1" applyAlignment="1">
      <alignment horizontal="right" vertical="center" wrapText="1"/>
    </xf>
    <xf numFmtId="0" fontId="1" fillId="0" borderId="8" xfId="0" applyFont="1" applyBorder="1" applyAlignment="1">
      <alignment horizontal="right" vertical="center" wrapText="1"/>
    </xf>
    <xf numFmtId="0" fontId="1" fillId="0" borderId="7" xfId="0" applyFont="1" applyBorder="1" applyAlignment="1">
      <alignment horizontal="left" vertical="center" wrapText="1"/>
    </xf>
    <xf numFmtId="2" fontId="0" fillId="0" borderId="0" xfId="0" applyNumberFormat="1" applyAlignment="1">
      <alignment horizontal="center" vertical="center"/>
    </xf>
    <xf numFmtId="0" fontId="2" fillId="0" borderId="4" xfId="0" applyFont="1" applyBorder="1" applyAlignment="1">
      <alignment horizontal="right" vertical="center" wrapText="1"/>
    </xf>
    <xf numFmtId="0" fontId="2" fillId="0" borderId="0" xfId="0" applyFont="1" applyAlignment="1">
      <alignment horizontal="right" vertical="center" wrapText="1"/>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1" fillId="0" borderId="8"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right"/>
    </xf>
    <xf numFmtId="0" fontId="0" fillId="4" borderId="0" xfId="0" applyFill="1"/>
    <xf numFmtId="0" fontId="0" fillId="0" borderId="0" xfId="0" applyAlignment="1">
      <alignment horizontal="right" wrapText="1"/>
    </xf>
    <xf numFmtId="0" fontId="3" fillId="0" borderId="0" xfId="0" applyFont="1" applyAlignment="1">
      <alignment horizontal="center"/>
    </xf>
    <xf numFmtId="0" fontId="3" fillId="0" borderId="0" xfId="0" applyFont="1"/>
    <xf numFmtId="0" fontId="0" fillId="5" borderId="0" xfId="0" applyFill="1"/>
    <xf numFmtId="0" fontId="4" fillId="5" borderId="0" xfId="0" applyFont="1" applyFill="1"/>
    <xf numFmtId="0" fontId="0" fillId="0" borderId="0" xfId="0" applyAlignment="1">
      <alignment horizontal="left" wrapText="1"/>
    </xf>
    <xf numFmtId="1" fontId="2" fillId="0" borderId="0" xfId="0" applyNumberFormat="1" applyFont="1"/>
    <xf numFmtId="1" fontId="2" fillId="0" borderId="0" xfId="0" applyNumberFormat="1" applyFont="1" applyAlignment="1">
      <alignment horizontal="left"/>
    </xf>
    <xf numFmtId="0" fontId="0" fillId="0" borderId="2" xfId="0" applyBorder="1"/>
    <xf numFmtId="0" fontId="0" fillId="0" borderId="2" xfId="0" applyBorder="1" applyAlignment="1">
      <alignment horizontal="center"/>
    </xf>
    <xf numFmtId="0" fontId="0" fillId="0" borderId="2" xfId="0" applyBorder="1" applyAlignment="1">
      <alignment horizontal="left"/>
    </xf>
    <xf numFmtId="0" fontId="0" fillId="0" borderId="1" xfId="0" applyBorder="1"/>
    <xf numFmtId="0" fontId="2" fillId="0" borderId="2" xfId="0" applyFont="1" applyBorder="1" applyAlignment="1">
      <alignment horizontal="left"/>
    </xf>
    <xf numFmtId="0" fontId="0" fillId="0" borderId="3" xfId="0" applyBorder="1"/>
    <xf numFmtId="0" fontId="0" fillId="0" borderId="4" xfId="0" applyBorder="1"/>
    <xf numFmtId="0" fontId="2" fillId="0" borderId="0" xfId="0" applyFont="1"/>
    <xf numFmtId="0" fontId="2" fillId="0" borderId="0" xfId="0" applyFont="1" applyAlignment="1">
      <alignment horizontal="center"/>
    </xf>
    <xf numFmtId="0" fontId="2" fillId="0" borderId="0" xfId="0" applyFont="1" applyAlignment="1">
      <alignment horizontal="left"/>
    </xf>
    <xf numFmtId="0" fontId="2" fillId="0" borderId="5" xfId="0" applyFont="1" applyBorder="1" applyAlignment="1">
      <alignment horizontal="center"/>
    </xf>
    <xf numFmtId="0" fontId="0" fillId="0" borderId="5" xfId="0" applyBorder="1"/>
    <xf numFmtId="167" fontId="0" fillId="0" borderId="5" xfId="0" applyNumberFormat="1" applyBorder="1" applyAlignment="1">
      <alignment horizontal="center"/>
    </xf>
    <xf numFmtId="0" fontId="0" fillId="0" borderId="6" xfId="0" applyBorder="1"/>
    <xf numFmtId="1" fontId="0" fillId="0" borderId="7" xfId="0" applyNumberFormat="1" applyBorder="1"/>
    <xf numFmtId="0" fontId="0" fillId="0" borderId="7" xfId="0" applyBorder="1" applyAlignment="1">
      <alignment horizontal="left"/>
    </xf>
    <xf numFmtId="167" fontId="0" fillId="0" borderId="8" xfId="0" applyNumberFormat="1" applyBorder="1" applyAlignment="1">
      <alignment horizontal="center"/>
    </xf>
    <xf numFmtId="0" fontId="3" fillId="0" borderId="2" xfId="0" applyFont="1" applyBorder="1"/>
    <xf numFmtId="1" fontId="0" fillId="0" borderId="2" xfId="0" applyNumberFormat="1" applyBorder="1"/>
    <xf numFmtId="0" fontId="2" fillId="0" borderId="10" xfId="0" applyFont="1" applyBorder="1" applyAlignment="1">
      <alignment horizontal="left"/>
    </xf>
    <xf numFmtId="1" fontId="2" fillId="0" borderId="2" xfId="0" applyNumberFormat="1" applyFont="1" applyBorder="1"/>
    <xf numFmtId="0" fontId="0" fillId="0" borderId="3" xfId="0" applyBorder="1" applyAlignment="1">
      <alignment horizontal="center"/>
    </xf>
    <xf numFmtId="0" fontId="0" fillId="0" borderId="5" xfId="0" applyBorder="1" applyAlignment="1">
      <alignment horizontal="center"/>
    </xf>
    <xf numFmtId="0" fontId="0" fillId="0" borderId="7" xfId="0" applyBorder="1" applyAlignment="1">
      <alignment horizontal="right"/>
    </xf>
    <xf numFmtId="0" fontId="0" fillId="0" borderId="8" xfId="0" applyBorder="1" applyAlignment="1">
      <alignment horizontal="center"/>
    </xf>
    <xf numFmtId="0" fontId="2" fillId="0" borderId="1" xfId="0" applyFont="1" applyBorder="1" applyAlignment="1">
      <alignment horizontal="right"/>
    </xf>
    <xf numFmtId="0" fontId="3" fillId="0" borderId="2" xfId="0" applyFont="1" applyBorder="1" applyAlignment="1">
      <alignment horizontal="center"/>
    </xf>
    <xf numFmtId="0" fontId="2" fillId="0" borderId="2" xfId="0" applyFont="1" applyBorder="1" applyAlignment="1">
      <alignment horizontal="left" wrapText="1"/>
    </xf>
    <xf numFmtId="0" fontId="2" fillId="0" borderId="3" xfId="0" applyFont="1" applyBorder="1" applyAlignment="1">
      <alignment horizontal="left"/>
    </xf>
    <xf numFmtId="0" fontId="2" fillId="0" borderId="0" xfId="0" applyFont="1" applyAlignment="1">
      <alignment horizontal="left" wrapText="1"/>
    </xf>
    <xf numFmtId="0" fontId="2" fillId="0" borderId="5" xfId="0" applyFont="1" applyBorder="1" applyAlignment="1">
      <alignment horizontal="left"/>
    </xf>
    <xf numFmtId="0" fontId="0" fillId="0" borderId="5" xfId="0" applyBorder="1" applyAlignment="1">
      <alignment horizontal="left"/>
    </xf>
    <xf numFmtId="165" fontId="0" fillId="0" borderId="0" xfId="0" applyNumberFormat="1" applyAlignment="1">
      <alignment horizontal="left" wrapText="1"/>
    </xf>
    <xf numFmtId="1" fontId="0" fillId="0" borderId="5" xfId="0" applyNumberFormat="1" applyBorder="1" applyAlignment="1">
      <alignment horizontal="left"/>
    </xf>
    <xf numFmtId="1" fontId="0" fillId="0" borderId="0" xfId="0" applyNumberFormat="1" applyAlignment="1">
      <alignment horizontal="left"/>
    </xf>
    <xf numFmtId="1" fontId="2" fillId="0" borderId="0" xfId="0" applyNumberFormat="1" applyFont="1" applyAlignment="1">
      <alignment horizontal="center"/>
    </xf>
    <xf numFmtId="1" fontId="2" fillId="0" borderId="7" xfId="0" applyNumberFormat="1" applyFont="1" applyBorder="1"/>
    <xf numFmtId="0" fontId="0" fillId="0" borderId="7" xfId="0" applyBorder="1" applyAlignment="1">
      <alignment horizontal="center"/>
    </xf>
    <xf numFmtId="0" fontId="0" fillId="0" borderId="7" xfId="0" applyBorder="1" applyAlignment="1">
      <alignment horizontal="left" wrapText="1"/>
    </xf>
    <xf numFmtId="1" fontId="2" fillId="0" borderId="7" xfId="0" applyNumberFormat="1" applyFont="1" applyBorder="1" applyAlignment="1">
      <alignment horizontal="left"/>
    </xf>
    <xf numFmtId="1" fontId="2" fillId="0" borderId="8" xfId="0" applyNumberFormat="1" applyFont="1" applyBorder="1" applyAlignment="1">
      <alignment horizontal="left"/>
    </xf>
    <xf numFmtId="0" fontId="2" fillId="0" borderId="6" xfId="0" applyFont="1" applyBorder="1" applyAlignment="1">
      <alignment horizontal="right"/>
    </xf>
    <xf numFmtId="0" fontId="0" fillId="6" borderId="0" xfId="0" applyFill="1" applyAlignment="1">
      <alignment wrapText="1"/>
    </xf>
    <xf numFmtId="0" fontId="0" fillId="6" borderId="0" xfId="0" applyFill="1"/>
    <xf numFmtId="1" fontId="0" fillId="6" borderId="0" xfId="0" applyNumberFormat="1" applyFill="1"/>
    <xf numFmtId="0" fontId="0" fillId="7" borderId="0" xfId="0" applyFill="1"/>
    <xf numFmtId="0" fontId="0" fillId="3" borderId="0" xfId="0" applyFill="1"/>
    <xf numFmtId="0" fontId="0" fillId="7" borderId="0" xfId="0" applyFill="1" applyAlignment="1">
      <alignment wrapText="1"/>
    </xf>
    <xf numFmtId="1" fontId="0" fillId="7" borderId="0" xfId="0" applyNumberFormat="1" applyFill="1"/>
    <xf numFmtId="0" fontId="0" fillId="6" borderId="0" xfId="0" applyFill="1" applyAlignment="1">
      <alignment horizontal="center" wrapText="1"/>
    </xf>
    <xf numFmtId="0" fontId="0" fillId="7" borderId="0" xfId="0" applyFill="1" applyAlignment="1">
      <alignment horizontal="center" wrapText="1"/>
    </xf>
    <xf numFmtId="0" fontId="0" fillId="4" borderId="11" xfId="0" applyFill="1" applyBorder="1"/>
    <xf numFmtId="0" fontId="0" fillId="4" borderId="12" xfId="0" applyFill="1" applyBorder="1"/>
    <xf numFmtId="0" fontId="0" fillId="4" borderId="13" xfId="0" applyFill="1" applyBorder="1"/>
    <xf numFmtId="0" fontId="0" fillId="4" borderId="14" xfId="0" applyFill="1" applyBorder="1"/>
    <xf numFmtId="0" fontId="0" fillId="4" borderId="15" xfId="0" applyFill="1" applyBorder="1"/>
    <xf numFmtId="0" fontId="0" fillId="4" borderId="16" xfId="0" applyFill="1" applyBorder="1"/>
    <xf numFmtId="0" fontId="0" fillId="4" borderId="17" xfId="0" applyFill="1" applyBorder="1"/>
    <xf numFmtId="0" fontId="0" fillId="4" borderId="18" xfId="0" applyFill="1" applyBorder="1"/>
    <xf numFmtId="164" fontId="0" fillId="4" borderId="0" xfId="0" applyNumberFormat="1" applyFill="1"/>
    <xf numFmtId="2" fontId="0" fillId="4" borderId="0" xfId="0" applyNumberFormat="1" applyFill="1"/>
    <xf numFmtId="0" fontId="3" fillId="0" borderId="2" xfId="0" applyFont="1" applyBorder="1" applyAlignment="1">
      <alignment horizontal="center"/>
    </xf>
    <xf numFmtId="0" fontId="0" fillId="0" borderId="0" xfId="0" applyAlignment="1">
      <alignment horizontal="right" vertical="center"/>
    </xf>
    <xf numFmtId="0" fontId="2" fillId="0" borderId="4" xfId="0" applyFont="1" applyBorder="1" applyAlignment="1">
      <alignment horizontal="right" vertical="center" wrapText="1"/>
    </xf>
    <xf numFmtId="0" fontId="2" fillId="0" borderId="0" xfId="0" applyFont="1" applyAlignment="1">
      <alignment horizontal="right" vertical="center" wrapText="1"/>
    </xf>
    <xf numFmtId="0" fontId="2" fillId="0" borderId="6" xfId="0" applyFont="1" applyBorder="1" applyAlignment="1">
      <alignment horizontal="right" vertical="center" wrapText="1"/>
    </xf>
    <xf numFmtId="0" fontId="2" fillId="0" borderId="7" xfId="0" applyFont="1" applyBorder="1" applyAlignment="1">
      <alignment horizontal="righ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0" fillId="0" borderId="7" xfId="0" applyBorder="1" applyAlignment="1">
      <alignment horizontal="right" vertical="center"/>
    </xf>
    <xf numFmtId="0" fontId="1" fillId="0" borderId="0" xfId="0" applyFont="1" applyAlignment="1">
      <alignment horizontal="left" vertical="center" wrapText="1"/>
    </xf>
    <xf numFmtId="0" fontId="2"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3" fillId="0" borderId="0" xfId="0" applyFont="1" applyAlignment="1">
      <alignment horizontal="center"/>
    </xf>
    <xf numFmtId="0" fontId="0" fillId="0" borderId="0" xfId="0" applyAlignment="1">
      <alignment horizont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5"/>
  <sheetViews>
    <sheetView workbookViewId="0">
      <selection activeCell="B3" sqref="B3"/>
    </sheetView>
  </sheetViews>
  <sheetFormatPr defaultColWidth="8.85546875" defaultRowHeight="15"/>
  <cols>
    <col min="11" max="11" width="21.7109375" customWidth="1"/>
    <col min="16" max="16" width="16" customWidth="1"/>
  </cols>
  <sheetData>
    <row r="1" spans="1:18">
      <c r="A1" t="s">
        <v>0</v>
      </c>
      <c r="B1" t="s">
        <v>1</v>
      </c>
      <c r="C1" t="s">
        <v>2</v>
      </c>
      <c r="D1" t="s">
        <v>3</v>
      </c>
      <c r="E1" t="s">
        <v>4</v>
      </c>
      <c r="F1" t="s">
        <v>2</v>
      </c>
      <c r="G1" t="s">
        <v>3</v>
      </c>
      <c r="H1" t="s">
        <v>5</v>
      </c>
      <c r="J1" t="s">
        <v>6</v>
      </c>
      <c r="O1" t="s">
        <v>7</v>
      </c>
    </row>
    <row r="2" spans="1:18">
      <c r="A2">
        <v>0</v>
      </c>
      <c r="B2">
        <v>10000</v>
      </c>
      <c r="E2">
        <v>10000</v>
      </c>
    </row>
    <row r="3" spans="1:18">
      <c r="A3">
        <v>1</v>
      </c>
      <c r="B3">
        <f>B2-0.0198*B2</f>
        <v>9802</v>
      </c>
      <c r="C3" s="1">
        <f>(B2+B3)/2</f>
        <v>9901</v>
      </c>
      <c r="D3">
        <f>B2-B3</f>
        <v>198</v>
      </c>
      <c r="E3" s="1">
        <f>E2-0.00995*E2</f>
        <v>9900.5</v>
      </c>
      <c r="F3" s="1">
        <f>(E2+E3)/2</f>
        <v>9950.25</v>
      </c>
      <c r="G3" s="1">
        <f>E2-E3</f>
        <v>99.5</v>
      </c>
      <c r="H3" s="4">
        <f>B3/(B3+E3)</f>
        <v>0.49750031721862709</v>
      </c>
      <c r="J3">
        <f>H3*(D3+G3)</f>
        <v>148.00634437254155</v>
      </c>
      <c r="K3" t="s">
        <v>8</v>
      </c>
      <c r="M3" t="s">
        <v>9</v>
      </c>
      <c r="N3" t="s">
        <v>10</v>
      </c>
      <c r="O3" s="1">
        <f>D3+G3</f>
        <v>297.5</v>
      </c>
    </row>
    <row r="4" spans="1:18">
      <c r="A4">
        <v>2</v>
      </c>
      <c r="B4" s="1">
        <f t="shared" ref="B4:B12" si="0">B3-0.0198*B3</f>
        <v>9607.9203999999991</v>
      </c>
      <c r="C4" s="1">
        <f t="shared" ref="C4:C12" si="1">(B3+B4)/2</f>
        <v>9704.9601999999995</v>
      </c>
      <c r="D4" s="1">
        <f t="shared" ref="D4:D12" si="2">B3-B4</f>
        <v>194.07960000000094</v>
      </c>
      <c r="E4" s="1">
        <f t="shared" ref="E4:E12" si="3">E3-0.00995*E3</f>
        <v>9801.9900249999992</v>
      </c>
      <c r="F4" s="1">
        <f t="shared" ref="F4:F12" si="4">(E3+E4)/2</f>
        <v>9851.2450124999996</v>
      </c>
      <c r="G4" s="1">
        <f t="shared" ref="G4:G12" si="5">E3-E4</f>
        <v>98.50997500000085</v>
      </c>
      <c r="H4" s="4">
        <f t="shared" ref="H4:H12" si="6">B4/(B4+E4)</f>
        <v>0.49500075938655447</v>
      </c>
      <c r="J4">
        <f t="shared" ref="J4:J12" si="7">H4*(D4+G4)</f>
        <v>144.83206181359012</v>
      </c>
      <c r="K4" t="s">
        <v>11</v>
      </c>
      <c r="L4">
        <f>B15/(B15+E15)</f>
        <v>0.65573645777544898</v>
      </c>
      <c r="M4">
        <f>B15/E15</f>
        <v>1.9047513818577251</v>
      </c>
      <c r="O4" s="1">
        <f>D4+G4</f>
        <v>292.58957500000179</v>
      </c>
    </row>
    <row r="5" spans="1:18">
      <c r="A5">
        <v>3</v>
      </c>
      <c r="B5" s="1">
        <f t="shared" si="0"/>
        <v>9417.6835760799986</v>
      </c>
      <c r="C5" s="1">
        <f t="shared" si="1"/>
        <v>9512.8019880399988</v>
      </c>
      <c r="D5" s="1">
        <f t="shared" si="2"/>
        <v>190.23682392000046</v>
      </c>
      <c r="E5" s="1">
        <f t="shared" si="3"/>
        <v>9704.4602242512483</v>
      </c>
      <c r="F5" s="1">
        <f t="shared" si="4"/>
        <v>9753.2251246256237</v>
      </c>
      <c r="G5" s="1">
        <f t="shared" si="5"/>
        <v>97.529800748750858</v>
      </c>
      <c r="H5" s="4">
        <f t="shared" si="6"/>
        <v>0.49250145142810081</v>
      </c>
      <c r="J5">
        <f t="shared" si="7"/>
        <v>141.72548032192555</v>
      </c>
      <c r="K5" t="s">
        <v>12</v>
      </c>
      <c r="L5">
        <f>B12/(B12+E12)</f>
        <v>0.47502376905355392</v>
      </c>
      <c r="M5">
        <f>B12/E12</f>
        <v>0.9048481455953995</v>
      </c>
      <c r="N5">
        <f>M4/M5</f>
        <v>2.1050508763593463</v>
      </c>
      <c r="O5" s="1">
        <f>D5+G5</f>
        <v>287.76662466875132</v>
      </c>
    </row>
    <row r="6" spans="1:18">
      <c r="A6">
        <v>4</v>
      </c>
      <c r="B6" s="1">
        <f t="shared" si="0"/>
        <v>9231.2134412736141</v>
      </c>
      <c r="C6" s="1">
        <f t="shared" si="1"/>
        <v>9324.4485086768073</v>
      </c>
      <c r="D6" s="1">
        <f t="shared" si="2"/>
        <v>186.47013480638452</v>
      </c>
      <c r="E6" s="1">
        <f t="shared" si="3"/>
        <v>9607.900845019949</v>
      </c>
      <c r="F6" s="1">
        <f t="shared" si="4"/>
        <v>9656.1805346355977</v>
      </c>
      <c r="G6" s="1">
        <f t="shared" si="5"/>
        <v>96.559379231299317</v>
      </c>
      <c r="H6" s="4">
        <f t="shared" si="6"/>
        <v>0.49000251821763208</v>
      </c>
      <c r="J6">
        <f t="shared" si="7"/>
        <v>138.68517460837774</v>
      </c>
      <c r="K6" t="s">
        <v>13</v>
      </c>
      <c r="L6" s="3">
        <f>B2/(B2+E2)</f>
        <v>0.5</v>
      </c>
      <c r="M6" s="2">
        <f>B2/E2</f>
        <v>1</v>
      </c>
      <c r="N6">
        <f>M4/M6</f>
        <v>1.9047513818577251</v>
      </c>
      <c r="O6" s="1">
        <f>D6+G6</f>
        <v>283.02951403768384</v>
      </c>
      <c r="P6" t="s">
        <v>14</v>
      </c>
      <c r="Q6" t="s">
        <v>15</v>
      </c>
      <c r="R6" t="s">
        <v>10</v>
      </c>
    </row>
    <row r="7" spans="1:18">
      <c r="A7">
        <v>5</v>
      </c>
      <c r="B7" s="1">
        <f t="shared" si="0"/>
        <v>9048.4354151363968</v>
      </c>
      <c r="C7" s="1">
        <f t="shared" si="1"/>
        <v>9139.8244282050055</v>
      </c>
      <c r="D7" s="1">
        <f t="shared" si="2"/>
        <v>182.77802613721724</v>
      </c>
      <c r="E7" s="1">
        <f t="shared" si="3"/>
        <v>9512.3022316120005</v>
      </c>
      <c r="F7" s="1">
        <f t="shared" si="4"/>
        <v>9560.1015383159756</v>
      </c>
      <c r="G7" s="1">
        <f t="shared" si="5"/>
        <v>95.598613407948505</v>
      </c>
      <c r="H7" s="4">
        <f t="shared" si="6"/>
        <v>0.48750408455461175</v>
      </c>
      <c r="J7">
        <f t="shared" si="7"/>
        <v>135.70974882285515</v>
      </c>
      <c r="K7" t="s">
        <v>16</v>
      </c>
      <c r="L7">
        <f>SUM(C3:C12)/(SUM(C3:C12)+SUM(F3:F12))</f>
        <v>0.48782245638741262</v>
      </c>
      <c r="M7">
        <f>SUM(C3:C12)/SUM(E3:E12)</f>
        <v>0.95723400943501247</v>
      </c>
      <c r="N7">
        <f>M4/M7</f>
        <v>1.989849256381901</v>
      </c>
      <c r="O7" s="1">
        <f>D7+G7</f>
        <v>278.37663954516574</v>
      </c>
      <c r="P7">
        <f>(O3*H3+O4*H4+O5*H5+O6*H6+O7*H7+O8*H8+O9*H9+O10*H10+O11*H11+O12*H12)/SUM(O3:O12)</f>
        <v>0.48659887051426998</v>
      </c>
      <c r="Q7">
        <f>P7/(1-P7)</f>
        <v>0.94779470197444315</v>
      </c>
      <c r="R7">
        <f>M4/Q7</f>
        <v>2.0096666270551551</v>
      </c>
    </row>
    <row r="8" spans="1:18">
      <c r="A8">
        <v>6</v>
      </c>
      <c r="B8" s="1">
        <f t="shared" si="0"/>
        <v>8869.2763939166962</v>
      </c>
      <c r="C8" s="1">
        <f t="shared" si="1"/>
        <v>8958.8559045265465</v>
      </c>
      <c r="D8" s="1">
        <f t="shared" si="2"/>
        <v>179.15902121970066</v>
      </c>
      <c r="E8" s="1">
        <f t="shared" si="3"/>
        <v>9417.6548244074602</v>
      </c>
      <c r="F8" s="1">
        <f t="shared" si="4"/>
        <v>9464.9785280097312</v>
      </c>
      <c r="G8" s="1">
        <f t="shared" si="5"/>
        <v>94.647407204540286</v>
      </c>
      <c r="H8" s="4">
        <f t="shared" si="6"/>
        <v>0.48500627513868294</v>
      </c>
      <c r="J8">
        <f t="shared" si="7"/>
        <v>132.7978359590675</v>
      </c>
      <c r="K8" t="s">
        <v>17</v>
      </c>
      <c r="L8">
        <f>L7*(D13+G13)</f>
        <v>1348.4350675945027</v>
      </c>
      <c r="O8" s="1">
        <f t="shared" ref="O8:O13" si="8">D8+G8</f>
        <v>273.80642842424095</v>
      </c>
    </row>
    <row r="9" spans="1:18">
      <c r="A9">
        <v>7</v>
      </c>
      <c r="B9" s="1">
        <f t="shared" si="0"/>
        <v>8693.6647213171454</v>
      </c>
      <c r="C9" s="1">
        <f t="shared" si="1"/>
        <v>8781.4705576169217</v>
      </c>
      <c r="D9" s="1">
        <f t="shared" si="2"/>
        <v>175.61167259955073</v>
      </c>
      <c r="E9" s="1">
        <f t="shared" si="3"/>
        <v>9323.9491589046065</v>
      </c>
      <c r="F9" s="1">
        <f t="shared" si="4"/>
        <v>9370.8019916560334</v>
      </c>
      <c r="G9" s="1">
        <f t="shared" si="5"/>
        <v>93.705665502853662</v>
      </c>
      <c r="H9" s="4">
        <f t="shared" si="6"/>
        <v>0.48250921454479229</v>
      </c>
      <c r="J9">
        <f t="shared" si="7"/>
        <v>129.9480972710854</v>
      </c>
      <c r="O9" s="1">
        <f t="shared" si="8"/>
        <v>269.31733810240439</v>
      </c>
    </row>
    <row r="10" spans="1:18">
      <c r="A10">
        <v>8</v>
      </c>
      <c r="B10" s="1">
        <f t="shared" si="0"/>
        <v>8521.5301598350652</v>
      </c>
      <c r="C10" s="1">
        <f t="shared" si="1"/>
        <v>8607.5974405761044</v>
      </c>
      <c r="D10" s="1">
        <f t="shared" si="2"/>
        <v>172.13456148208024</v>
      </c>
      <c r="E10" s="1">
        <f t="shared" si="3"/>
        <v>9231.175864773506</v>
      </c>
      <c r="F10" s="1">
        <f t="shared" si="4"/>
        <v>9277.5625118390562</v>
      </c>
      <c r="G10" s="1">
        <f t="shared" si="5"/>
        <v>92.773294131100556</v>
      </c>
      <c r="H10" s="4">
        <f t="shared" si="6"/>
        <v>0.48001302719836797</v>
      </c>
      <c r="J10">
        <f t="shared" si="7"/>
        <v>127.15922170151109</v>
      </c>
      <c r="O10" s="1">
        <f t="shared" si="8"/>
        <v>264.9078556131808</v>
      </c>
    </row>
    <row r="11" spans="1:18">
      <c r="A11">
        <v>9</v>
      </c>
      <c r="B11" s="1">
        <f t="shared" si="0"/>
        <v>8352.803862670331</v>
      </c>
      <c r="C11" s="1">
        <f t="shared" si="1"/>
        <v>8437.167011252699</v>
      </c>
      <c r="D11" s="1">
        <f t="shared" si="2"/>
        <v>168.72629716473421</v>
      </c>
      <c r="E11" s="1">
        <f t="shared" si="3"/>
        <v>9139.3256649190098</v>
      </c>
      <c r="F11" s="1">
        <f t="shared" si="4"/>
        <v>9185.2507648462579</v>
      </c>
      <c r="G11" s="1">
        <f t="shared" si="5"/>
        <v>91.850199854496168</v>
      </c>
      <c r="H11" s="4">
        <f t="shared" si="6"/>
        <v>0.47751783735055975</v>
      </c>
      <c r="J11">
        <f t="shared" si="7"/>
        <v>124.42992532100746</v>
      </c>
      <c r="O11" s="1">
        <f t="shared" si="8"/>
        <v>260.57649701923037</v>
      </c>
    </row>
    <row r="12" spans="1:18">
      <c r="A12">
        <v>10</v>
      </c>
      <c r="B12" s="1">
        <f t="shared" si="0"/>
        <v>8187.4183461894581</v>
      </c>
      <c r="C12" s="1">
        <f t="shared" si="1"/>
        <v>8270.1111044298941</v>
      </c>
      <c r="D12" s="1">
        <f t="shared" si="2"/>
        <v>165.38551648087287</v>
      </c>
      <c r="E12" s="1">
        <f t="shared" si="3"/>
        <v>9048.3893745530659</v>
      </c>
      <c r="F12" s="1">
        <f t="shared" si="4"/>
        <v>9093.8575197360369</v>
      </c>
      <c r="G12" s="1">
        <f t="shared" si="5"/>
        <v>90.936290365943933</v>
      </c>
      <c r="H12" s="4">
        <f t="shared" si="6"/>
        <v>0.47502376905355392</v>
      </c>
      <c r="J12">
        <f t="shared" si="7"/>
        <v>121.75895077899196</v>
      </c>
      <c r="O12" s="1">
        <f t="shared" si="8"/>
        <v>256.3218068468168</v>
      </c>
    </row>
    <row r="13" spans="1:18">
      <c r="C13" s="1">
        <f>SUM(C3:C12)</f>
        <v>90638.237143323975</v>
      </c>
      <c r="D13" s="1">
        <f>SUM(D3:D12)</f>
        <v>1812.5816538105419</v>
      </c>
      <c r="E13" s="1"/>
      <c r="F13" s="1">
        <f>SUM(F3:F12)</f>
        <v>95163.453526164318</v>
      </c>
      <c r="G13" s="1">
        <f>SUM(G3:G12)</f>
        <v>951.61062544693414</v>
      </c>
      <c r="H13" s="4"/>
      <c r="J13">
        <f>SUM(J3:J12)</f>
        <v>1345.0528409709534</v>
      </c>
      <c r="O13" s="1">
        <f t="shared" si="8"/>
        <v>2764.192279257476</v>
      </c>
    </row>
    <row r="14" spans="1:18">
      <c r="C14" s="1"/>
      <c r="F14" s="1"/>
      <c r="J14" s="46" t="s">
        <v>18</v>
      </c>
      <c r="K14" s="46">
        <f>J13/(D13+G13)</f>
        <v>0.48659887051426998</v>
      </c>
    </row>
    <row r="15" spans="1:18">
      <c r="A15" t="s">
        <v>11</v>
      </c>
      <c r="B15" s="1">
        <f>B2-B12</f>
        <v>1812.5816538105419</v>
      </c>
      <c r="C15" s="1"/>
      <c r="E15" s="1">
        <f>E2-E12</f>
        <v>951.61062544693414</v>
      </c>
      <c r="F15" s="1"/>
      <c r="J15" s="46" t="s">
        <v>15</v>
      </c>
      <c r="K15" s="46">
        <f>K14/(1-K14)</f>
        <v>0.94779470197444315</v>
      </c>
    </row>
    <row r="16" spans="1:18">
      <c r="A16" t="s">
        <v>19</v>
      </c>
      <c r="B16" s="4">
        <f>B15/B2</f>
        <v>0.18125816538105419</v>
      </c>
      <c r="C16" s="1"/>
      <c r="E16" s="4">
        <f>E15/E2</f>
        <v>9.516106254469342E-2</v>
      </c>
      <c r="F16" s="1"/>
      <c r="G16" t="s">
        <v>20</v>
      </c>
      <c r="I16">
        <f>B16/E16</f>
        <v>1.9047513818577251</v>
      </c>
      <c r="J16" s="46" t="s">
        <v>10</v>
      </c>
      <c r="K16" s="46">
        <f>M4/K15</f>
        <v>2.0096666270551551</v>
      </c>
    </row>
    <row r="17" spans="1:9">
      <c r="A17" t="s">
        <v>21</v>
      </c>
      <c r="B17" s="4">
        <f>B15/B12</f>
        <v>0.22138622666742605</v>
      </c>
      <c r="C17" s="1"/>
      <c r="E17" s="4">
        <f>E15/E12</f>
        <v>0.10516906225578271</v>
      </c>
      <c r="F17" s="1"/>
      <c r="G17" t="s">
        <v>22</v>
      </c>
      <c r="I17">
        <f>B17/E17</f>
        <v>2.1050508763593463</v>
      </c>
    </row>
    <row r="18" spans="1:9">
      <c r="A18" t="s">
        <v>23</v>
      </c>
      <c r="B18">
        <f>(B2-B12)/SUM(C2:C12)</f>
        <v>1.9997980002020029E-2</v>
      </c>
      <c r="E18" s="5">
        <f>(E2-E12)/SUM(F2:F12)</f>
        <v>9.999748750031413E-3</v>
      </c>
      <c r="G18" t="s">
        <v>24</v>
      </c>
      <c r="I18">
        <f>B18/E18</f>
        <v>1.999848246382911</v>
      </c>
    </row>
    <row r="20" spans="1:9">
      <c r="A20" s="6" t="s">
        <v>25</v>
      </c>
      <c r="C20" t="s">
        <v>26</v>
      </c>
      <c r="D20" t="s">
        <v>27</v>
      </c>
      <c r="F20" s="6" t="s">
        <v>28</v>
      </c>
      <c r="H20" t="s">
        <v>26</v>
      </c>
      <c r="I20" t="s">
        <v>27</v>
      </c>
    </row>
    <row r="21" spans="1:9">
      <c r="A21" t="s">
        <v>3</v>
      </c>
      <c r="C21">
        <v>1813</v>
      </c>
      <c r="D21">
        <v>952</v>
      </c>
      <c r="F21" t="s">
        <v>3</v>
      </c>
      <c r="H21">
        <v>1813</v>
      </c>
      <c r="I21">
        <v>952</v>
      </c>
    </row>
    <row r="22" spans="1:9">
      <c r="A22" t="s">
        <v>29</v>
      </c>
      <c r="F22" t="s">
        <v>29</v>
      </c>
    </row>
    <row r="23" spans="1:9">
      <c r="B23" t="s">
        <v>30</v>
      </c>
      <c r="C23">
        <v>1313</v>
      </c>
      <c r="D23">
        <v>1452</v>
      </c>
      <c r="G23" t="s">
        <v>30</v>
      </c>
      <c r="H23">
        <f>(H21+I21)*L5</f>
        <v>1313.4407214330765</v>
      </c>
      <c r="I23">
        <f>(H21+I21)-H23</f>
        <v>1451.5592785669235</v>
      </c>
    </row>
    <row r="24" spans="1:9">
      <c r="B24" t="s">
        <v>31</v>
      </c>
      <c r="C24">
        <v>1383</v>
      </c>
      <c r="D24">
        <v>1383</v>
      </c>
      <c r="G24" t="s">
        <v>31</v>
      </c>
      <c r="H24">
        <f>(H21+I21)*L6</f>
        <v>1382.5</v>
      </c>
      <c r="I24">
        <f>(H21+I21)-H24</f>
        <v>1382.5</v>
      </c>
    </row>
    <row r="25" spans="1:9">
      <c r="B25" t="s">
        <v>32</v>
      </c>
      <c r="C25">
        <v>1349</v>
      </c>
      <c r="D25">
        <v>1416</v>
      </c>
      <c r="G25" t="s">
        <v>32</v>
      </c>
      <c r="H25">
        <f>(H21+I21)*L7</f>
        <v>1348.829091911196</v>
      </c>
      <c r="I25">
        <f>(H21+I21)-H25</f>
        <v>1416.170908088804</v>
      </c>
    </row>
  </sheetData>
  <phoneticPr fontId="5"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0"/>
  <sheetViews>
    <sheetView workbookViewId="0">
      <selection activeCell="G6" sqref="G6"/>
    </sheetView>
  </sheetViews>
  <sheetFormatPr defaultColWidth="11.42578125" defaultRowHeight="15"/>
  <cols>
    <col min="1" max="1" width="7.28515625" customWidth="1"/>
    <col min="2" max="2" width="9.42578125" customWidth="1"/>
    <col min="3" max="3" width="8.85546875" customWidth="1"/>
    <col min="4" max="4" width="7.85546875" customWidth="1"/>
    <col min="5" max="5" width="9.85546875" customWidth="1"/>
    <col min="6" max="6" width="6.85546875" style="40" customWidth="1"/>
    <col min="7" max="7" width="8.140625" customWidth="1"/>
    <col min="8" max="8" width="7" style="7" customWidth="1"/>
    <col min="9" max="9" width="6" customWidth="1"/>
    <col min="10" max="10" width="13.28515625" style="48" customWidth="1"/>
    <col min="11" max="11" width="8.42578125" style="40" customWidth="1"/>
    <col min="12" max="12" width="12" style="40" customWidth="1"/>
  </cols>
  <sheetData>
    <row r="1" spans="1:16" ht="30">
      <c r="A1" s="76" t="s">
        <v>0</v>
      </c>
      <c r="B1" s="112" t="s">
        <v>1</v>
      </c>
      <c r="C1" s="112"/>
      <c r="D1" s="112"/>
      <c r="E1" s="77"/>
      <c r="F1" s="112" t="s">
        <v>27</v>
      </c>
      <c r="G1" s="112"/>
      <c r="H1" s="112"/>
      <c r="I1" s="51"/>
      <c r="J1" s="78" t="s">
        <v>33</v>
      </c>
      <c r="K1" s="55" t="s">
        <v>34</v>
      </c>
      <c r="L1" s="79" t="s">
        <v>35</v>
      </c>
    </row>
    <row r="2" spans="1:16">
      <c r="A2" s="57"/>
      <c r="B2" s="51" t="s">
        <v>36</v>
      </c>
      <c r="C2" s="52" t="s">
        <v>2</v>
      </c>
      <c r="D2" s="51" t="s">
        <v>3</v>
      </c>
      <c r="F2" s="53" t="s">
        <v>36</v>
      </c>
      <c r="G2" s="51" t="s">
        <v>2</v>
      </c>
      <c r="H2" s="52" t="s">
        <v>3</v>
      </c>
      <c r="J2" s="80" t="s">
        <v>1</v>
      </c>
      <c r="K2" s="60" t="s">
        <v>11</v>
      </c>
      <c r="L2" s="81" t="s">
        <v>37</v>
      </c>
    </row>
    <row r="3" spans="1:16">
      <c r="A3" s="57">
        <v>0</v>
      </c>
      <c r="B3">
        <v>10000</v>
      </c>
      <c r="F3" s="40">
        <v>10000</v>
      </c>
      <c r="L3" s="82"/>
    </row>
    <row r="4" spans="1:16">
      <c r="A4" s="57">
        <v>1</v>
      </c>
      <c r="B4">
        <v>9500</v>
      </c>
      <c r="C4">
        <v>9750</v>
      </c>
      <c r="D4">
        <v>500</v>
      </c>
      <c r="F4" s="40">
        <v>9900</v>
      </c>
      <c r="G4">
        <v>9950</v>
      </c>
      <c r="H4" s="7">
        <v>100</v>
      </c>
      <c r="J4" s="83">
        <v>0.48969072164948452</v>
      </c>
      <c r="K4" s="40">
        <v>600</v>
      </c>
      <c r="L4" s="84">
        <v>293.81443298969072</v>
      </c>
    </row>
    <row r="5" spans="1:16">
      <c r="A5" s="57">
        <v>2</v>
      </c>
      <c r="B5">
        <v>9025</v>
      </c>
      <c r="C5" s="1">
        <v>9262.5</v>
      </c>
      <c r="D5">
        <v>975</v>
      </c>
      <c r="F5" s="40">
        <v>9801</v>
      </c>
      <c r="G5" s="1">
        <v>9850.5</v>
      </c>
      <c r="H5" s="7">
        <v>199</v>
      </c>
      <c r="J5" s="83">
        <v>0.4793902050355891</v>
      </c>
      <c r="K5" s="40">
        <v>574</v>
      </c>
      <c r="L5" s="84">
        <v>275.16997769042814</v>
      </c>
    </row>
    <row r="6" spans="1:16">
      <c r="A6" s="57">
        <v>3</v>
      </c>
      <c r="B6" s="1">
        <v>8573.75</v>
      </c>
      <c r="C6" s="1">
        <v>8799.375</v>
      </c>
      <c r="D6" s="1">
        <v>1426.25</v>
      </c>
      <c r="E6" s="1"/>
      <c r="F6" s="85">
        <v>9702.99</v>
      </c>
      <c r="G6" s="1">
        <v>9751.994999999999</v>
      </c>
      <c r="H6" s="8">
        <v>297.01000000000022</v>
      </c>
      <c r="J6" s="83">
        <v>0.46910718213423186</v>
      </c>
      <c r="K6" s="85">
        <v>549.26000000000022</v>
      </c>
      <c r="L6" s="84">
        <v>257.66181085904827</v>
      </c>
    </row>
    <row r="7" spans="1:16">
      <c r="A7" s="57">
        <v>4</v>
      </c>
      <c r="B7" s="1">
        <v>8145.0625</v>
      </c>
      <c r="C7" s="1">
        <v>8359.40625</v>
      </c>
      <c r="D7" s="1">
        <v>1854.9375</v>
      </c>
      <c r="E7" s="1"/>
      <c r="F7" s="85">
        <v>9605.9601000000002</v>
      </c>
      <c r="G7" s="1">
        <v>9654.4750500000009</v>
      </c>
      <c r="H7" s="8">
        <v>394.03989999999976</v>
      </c>
      <c r="J7" s="83">
        <v>0.45885032561448036</v>
      </c>
      <c r="K7" s="85">
        <v>525.71739999999954</v>
      </c>
      <c r="L7" s="84">
        <v>241.22560017119781</v>
      </c>
    </row>
    <row r="8" spans="1:16">
      <c r="A8" s="57">
        <v>5</v>
      </c>
      <c r="B8" s="1">
        <v>7737.8093749999998</v>
      </c>
      <c r="C8" s="1">
        <v>7941.4359375000004</v>
      </c>
      <c r="D8" s="1">
        <v>2262.1906250000002</v>
      </c>
      <c r="E8" s="1"/>
      <c r="F8" s="85">
        <v>9509.9004989999994</v>
      </c>
      <c r="G8" s="1">
        <v>9557.9302994999998</v>
      </c>
      <c r="H8" s="8">
        <v>490.0995010000006</v>
      </c>
      <c r="J8" s="83">
        <v>0.44862821971885863</v>
      </c>
      <c r="K8" s="85">
        <v>503.31272600000102</v>
      </c>
      <c r="L8" s="84">
        <v>225.80029222722615</v>
      </c>
    </row>
    <row r="9" spans="1:16">
      <c r="A9" s="57">
        <v>6</v>
      </c>
      <c r="B9" s="1">
        <v>7350.91890625</v>
      </c>
      <c r="C9" s="1">
        <v>7544.3641406249999</v>
      </c>
      <c r="D9" s="1">
        <v>2649.08109375</v>
      </c>
      <c r="E9" s="1"/>
      <c r="F9" s="85">
        <v>9414.8014940100002</v>
      </c>
      <c r="G9" s="1">
        <v>9462.3509965049998</v>
      </c>
      <c r="H9" s="8">
        <v>585.19850598999983</v>
      </c>
      <c r="J9" s="83">
        <v>0.43844933177676054</v>
      </c>
      <c r="K9" s="85">
        <v>481.98947373999908</v>
      </c>
      <c r="L9" s="84">
        <v>211.32796268473507</v>
      </c>
    </row>
    <row r="10" spans="1:16">
      <c r="A10" s="57">
        <v>7</v>
      </c>
      <c r="B10" s="1">
        <v>6983.3729609374996</v>
      </c>
      <c r="C10" s="1">
        <v>7167.1459335937498</v>
      </c>
      <c r="D10" s="1">
        <v>3016.6270390625004</v>
      </c>
      <c r="E10" s="1"/>
      <c r="F10" s="85">
        <v>9320.6534790699006</v>
      </c>
      <c r="G10" s="1">
        <v>9367.7274865399504</v>
      </c>
      <c r="H10" s="8">
        <v>679.34652093009936</v>
      </c>
      <c r="J10" s="83">
        <v>0.42832198454986864</v>
      </c>
      <c r="K10" s="85">
        <v>461.69396025259994</v>
      </c>
      <c r="L10" s="84">
        <v>197.75367331008178</v>
      </c>
      <c r="O10">
        <f>78246/(95140+78246)</f>
        <v>0.45128211043567529</v>
      </c>
      <c r="P10">
        <f>O10*4969</f>
        <v>2242.4208067548707</v>
      </c>
    </row>
    <row r="11" spans="1:16">
      <c r="A11" s="57">
        <v>8</v>
      </c>
      <c r="B11" s="1">
        <v>6634.2043128906244</v>
      </c>
      <c r="C11" s="1">
        <v>6808.7886369140615</v>
      </c>
      <c r="D11" s="1">
        <v>3365.7956871093756</v>
      </c>
      <c r="E11" s="1"/>
      <c r="F11" s="85">
        <v>9227.4469442792015</v>
      </c>
      <c r="G11" s="1">
        <v>9274.050211674552</v>
      </c>
      <c r="H11" s="8">
        <v>772.55305572079851</v>
      </c>
      <c r="J11" s="83">
        <v>0.41825432959836473</v>
      </c>
      <c r="K11" s="85">
        <v>442.37518283757436</v>
      </c>
      <c r="L11" s="84">
        <v>185.02533552868368</v>
      </c>
    </row>
    <row r="12" spans="1:16">
      <c r="A12" s="57">
        <v>9</v>
      </c>
      <c r="B12" s="1">
        <v>6302.4940972460936</v>
      </c>
      <c r="C12" s="1">
        <v>6468.349205068359</v>
      </c>
      <c r="D12" s="1">
        <v>3697.5059027539064</v>
      </c>
      <c r="E12" s="1"/>
      <c r="F12" s="85">
        <v>9135.1724748364086</v>
      </c>
      <c r="G12" s="1">
        <v>9181.309709557805</v>
      </c>
      <c r="H12" s="8">
        <v>864.82752516359142</v>
      </c>
      <c r="J12" s="83">
        <v>0.40825432184443811</v>
      </c>
      <c r="K12" s="85">
        <v>423.98468508732367</v>
      </c>
      <c r="L12" s="84">
        <v>173.09358008275296</v>
      </c>
    </row>
    <row r="13" spans="1:16">
      <c r="A13" s="57">
        <v>10</v>
      </c>
      <c r="B13" s="1">
        <v>5987.3693923837891</v>
      </c>
      <c r="C13" s="1">
        <v>6144.9317448149413</v>
      </c>
      <c r="D13" s="49">
        <v>4012.6306076162109</v>
      </c>
      <c r="E13" s="1"/>
      <c r="F13" s="85">
        <v>9043.8207500880453</v>
      </c>
      <c r="G13" s="1">
        <v>9089.496612462226</v>
      </c>
      <c r="H13" s="86">
        <v>956.17924991195468</v>
      </c>
      <c r="J13" s="83">
        <v>0.3983296954953684</v>
      </c>
      <c r="K13" s="85">
        <v>406.47642961066776</v>
      </c>
      <c r="L13" s="84">
        <v>161.91163243286184</v>
      </c>
    </row>
    <row r="14" spans="1:16">
      <c r="A14" s="92" t="s">
        <v>38</v>
      </c>
      <c r="B14" s="22"/>
      <c r="C14" s="87">
        <v>78246.296848516111</v>
      </c>
      <c r="D14" s="65"/>
      <c r="E14" s="65"/>
      <c r="F14" s="66"/>
      <c r="G14" s="87">
        <v>95139.835366239553</v>
      </c>
      <c r="H14" s="88"/>
      <c r="I14" s="22"/>
      <c r="J14" s="89"/>
      <c r="K14" s="90">
        <v>4968.8098575281656</v>
      </c>
      <c r="L14" s="91">
        <v>2222.7842979767065</v>
      </c>
    </row>
    <row r="15" spans="1:16">
      <c r="C15" s="49"/>
      <c r="D15" s="1"/>
      <c r="E15" s="1"/>
      <c r="G15" s="49"/>
      <c r="K15" s="50"/>
      <c r="L15" s="50"/>
    </row>
    <row r="16" spans="1:16">
      <c r="B16" s="54"/>
      <c r="C16" s="68" t="s">
        <v>1</v>
      </c>
      <c r="D16" s="69"/>
      <c r="E16" s="70" t="s">
        <v>4</v>
      </c>
      <c r="F16" s="53"/>
      <c r="G16" s="71"/>
      <c r="H16" s="72"/>
      <c r="K16" s="50"/>
      <c r="L16" s="50"/>
    </row>
    <row r="17" spans="2:8">
      <c r="B17" s="57" t="s">
        <v>39</v>
      </c>
      <c r="H17" s="73"/>
    </row>
    <row r="18" spans="2:8">
      <c r="B18" s="57" t="s">
        <v>40</v>
      </c>
      <c r="C18" t="s">
        <v>41</v>
      </c>
      <c r="E18" t="s">
        <v>42</v>
      </c>
      <c r="G18" s="41" t="s">
        <v>43</v>
      </c>
      <c r="H18" s="73">
        <v>4.2</v>
      </c>
    </row>
    <row r="19" spans="2:8">
      <c r="B19" s="57" t="s">
        <v>44</v>
      </c>
      <c r="C19">
        <v>0.67</v>
      </c>
      <c r="E19">
        <v>0.106</v>
      </c>
      <c r="G19" s="41" t="s">
        <v>45</v>
      </c>
      <c r="H19" s="73">
        <v>6.3</v>
      </c>
    </row>
    <row r="20" spans="2:8">
      <c r="B20" s="64" t="s">
        <v>46</v>
      </c>
      <c r="C20" s="22" t="s">
        <v>47</v>
      </c>
      <c r="D20" s="22"/>
      <c r="E20" s="22" t="s">
        <v>48</v>
      </c>
      <c r="F20" s="66"/>
      <c r="G20" s="74" t="s">
        <v>49</v>
      </c>
      <c r="H20" s="75">
        <v>5.0999999999999996</v>
      </c>
    </row>
    <row r="22" spans="2:8">
      <c r="B22" s="54"/>
      <c r="C22" s="51"/>
      <c r="D22" s="51"/>
      <c r="E22" s="51"/>
      <c r="F22" s="55" t="s">
        <v>50</v>
      </c>
      <c r="G22" s="56"/>
    </row>
    <row r="23" spans="2:8">
      <c r="B23" s="57"/>
      <c r="D23" s="58" t="s">
        <v>26</v>
      </c>
      <c r="E23" s="59" t="s">
        <v>27</v>
      </c>
      <c r="F23" s="60" t="s">
        <v>51</v>
      </c>
      <c r="G23" s="61" t="s">
        <v>10</v>
      </c>
    </row>
    <row r="24" spans="2:8">
      <c r="B24" s="57" t="s">
        <v>3</v>
      </c>
      <c r="D24">
        <v>4013</v>
      </c>
      <c r="E24" s="7">
        <v>956</v>
      </c>
      <c r="F24" s="40">
        <f>4013/956</f>
        <v>4.1976987447698741</v>
      </c>
      <c r="G24" s="62"/>
    </row>
    <row r="25" spans="2:8">
      <c r="B25" s="57" t="s">
        <v>29</v>
      </c>
      <c r="E25" s="7"/>
      <c r="G25" s="62"/>
    </row>
    <row r="26" spans="2:8">
      <c r="B26" s="57"/>
      <c r="C26" t="s">
        <v>30</v>
      </c>
      <c r="D26" s="1">
        <v>1979.3002569164855</v>
      </c>
      <c r="E26" s="8">
        <v>2989.6997430835145</v>
      </c>
      <c r="F26" s="40">
        <f>1979/2990</f>
        <v>0.6618729096989967</v>
      </c>
      <c r="G26" s="63">
        <v>6.3421522217594353</v>
      </c>
    </row>
    <row r="27" spans="2:8">
      <c r="B27" s="57"/>
      <c r="C27" t="s">
        <v>31</v>
      </c>
      <c r="D27" s="1">
        <v>2484.5</v>
      </c>
      <c r="E27" s="8">
        <v>2484.5</v>
      </c>
      <c r="F27" s="40">
        <v>1</v>
      </c>
      <c r="G27" s="63">
        <v>4.1976987447698741</v>
      </c>
    </row>
    <row r="28" spans="2:8">
      <c r="B28" s="57"/>
      <c r="C28" t="s">
        <v>52</v>
      </c>
      <c r="D28">
        <v>2223</v>
      </c>
      <c r="E28" s="7">
        <f>4969-2223</f>
        <v>2746</v>
      </c>
      <c r="F28" s="40">
        <f>2223/2746</f>
        <v>0.80954115076474875</v>
      </c>
      <c r="G28" s="63">
        <v>5.1852814903904969</v>
      </c>
    </row>
    <row r="29" spans="2:8">
      <c r="B29" s="64"/>
      <c r="C29" s="22" t="s">
        <v>53</v>
      </c>
      <c r="D29" s="65">
        <v>2242.4276040641043</v>
      </c>
      <c r="E29" s="20">
        <v>2726.5723959358957</v>
      </c>
      <c r="F29" s="66">
        <f>2242/2727</f>
        <v>0.82214888155482213</v>
      </c>
      <c r="G29" s="67">
        <v>5.1057647087365954</v>
      </c>
    </row>
    <row r="30" spans="2:8">
      <c r="E30" s="7"/>
    </row>
  </sheetData>
  <mergeCells count="2">
    <mergeCell ref="B1:D1"/>
    <mergeCell ref="F1:H1"/>
  </mergeCells>
  <phoneticPr fontId="5" type="noConversion"/>
  <pageMargins left="0.7" right="0.7" top="0.75" bottom="0.75" header="0.3" footer="0.3"/>
  <pageSetup paperSize="9"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U45"/>
  <sheetViews>
    <sheetView showGridLines="0" workbookViewId="0">
      <selection activeCell="J28" sqref="J28"/>
    </sheetView>
  </sheetViews>
  <sheetFormatPr defaultColWidth="8.85546875" defaultRowHeight="15"/>
  <cols>
    <col min="1" max="1" width="5.42578125" customWidth="1"/>
    <col min="2" max="2" width="8.7109375" style="9" customWidth="1"/>
    <col min="3" max="3" width="10.85546875" style="9" customWidth="1"/>
    <col min="4" max="4" width="10.42578125" style="7" customWidth="1"/>
    <col min="5" max="5" width="6.28515625" style="9" customWidth="1"/>
    <col min="6" max="6" width="9.42578125" style="9" customWidth="1"/>
    <col min="7" max="7" width="13" style="9" customWidth="1"/>
    <col min="8" max="8" width="12.85546875" style="9" customWidth="1"/>
    <col min="9" max="9" width="12.28515625" style="9" customWidth="1"/>
    <col min="10" max="10" width="7.42578125" customWidth="1"/>
    <col min="11" max="11" width="11.28515625" customWidth="1"/>
    <col min="12" max="12" width="10.7109375" customWidth="1"/>
    <col min="15" max="15" width="12.85546875" customWidth="1"/>
    <col min="16" max="16" width="12.42578125" customWidth="1"/>
    <col min="17" max="17" width="12.28515625" customWidth="1"/>
    <col min="18" max="18" width="14.7109375" customWidth="1"/>
    <col min="19" max="19" width="14" customWidth="1"/>
    <col min="22" max="22" width="11.7109375" customWidth="1"/>
  </cols>
  <sheetData>
    <row r="2" spans="2:21" ht="15" customHeight="1"/>
    <row r="3" spans="2:21" s="15" customFormat="1" ht="23.25" customHeight="1">
      <c r="B3" s="124" t="s">
        <v>54</v>
      </c>
      <c r="C3" s="124"/>
      <c r="D3" s="124"/>
      <c r="E3" s="124"/>
      <c r="F3" s="124"/>
      <c r="G3" s="124"/>
      <c r="H3" s="124"/>
      <c r="I3" s="124"/>
      <c r="J3" s="124"/>
      <c r="K3" s="124"/>
      <c r="L3" s="124"/>
      <c r="M3" s="124"/>
      <c r="N3" s="124"/>
      <c r="O3" s="124"/>
      <c r="P3" s="124"/>
      <c r="Q3" s="124"/>
      <c r="R3" s="124"/>
      <c r="S3" s="124"/>
      <c r="T3" s="124"/>
    </row>
    <row r="4" spans="2:21" s="9" customFormat="1" ht="37.5" customHeight="1" thickBot="1">
      <c r="B4" s="23" t="s">
        <v>55</v>
      </c>
      <c r="C4" s="23" t="s">
        <v>56</v>
      </c>
      <c r="D4" s="23" t="s">
        <v>57</v>
      </c>
      <c r="E4" s="23" t="s">
        <v>58</v>
      </c>
      <c r="F4" s="23" t="s">
        <v>59</v>
      </c>
      <c r="G4" s="23" t="s">
        <v>60</v>
      </c>
      <c r="H4" s="23" t="s">
        <v>61</v>
      </c>
      <c r="I4" s="23" t="s">
        <v>62</v>
      </c>
      <c r="J4" s="23"/>
      <c r="K4" s="23" t="s">
        <v>63</v>
      </c>
      <c r="L4" s="23" t="s">
        <v>57</v>
      </c>
      <c r="M4" s="23" t="s">
        <v>58</v>
      </c>
      <c r="N4" s="23" t="s">
        <v>59</v>
      </c>
      <c r="O4" s="23" t="s">
        <v>60</v>
      </c>
      <c r="P4" s="23" t="s">
        <v>61</v>
      </c>
      <c r="Q4" s="23" t="s">
        <v>62</v>
      </c>
      <c r="R4" s="23" t="s">
        <v>64</v>
      </c>
      <c r="S4" s="23" t="s">
        <v>65</v>
      </c>
      <c r="T4" s="23" t="s">
        <v>66</v>
      </c>
    </row>
    <row r="5" spans="2:21" s="9" customFormat="1">
      <c r="B5" s="9" t="s">
        <v>67</v>
      </c>
      <c r="C5" s="9">
        <v>10000</v>
      </c>
      <c r="E5" s="9">
        <v>0.05</v>
      </c>
      <c r="F5" s="13"/>
      <c r="G5" s="13"/>
      <c r="H5" s="13"/>
      <c r="I5" s="13"/>
      <c r="K5" s="9">
        <v>10000</v>
      </c>
      <c r="M5" s="9">
        <v>0.01</v>
      </c>
      <c r="U5" s="10"/>
    </row>
    <row r="6" spans="2:21" s="9" customFormat="1">
      <c r="B6" s="9">
        <v>1</v>
      </c>
      <c r="D6" s="7"/>
      <c r="J6"/>
      <c r="K6"/>
      <c r="L6"/>
      <c r="M6"/>
      <c r="N6"/>
      <c r="O6"/>
      <c r="P6"/>
      <c r="Q6"/>
      <c r="R6"/>
      <c r="U6" s="10"/>
    </row>
    <row r="7" spans="2:21" s="9" customFormat="1">
      <c r="B7" s="9">
        <v>2</v>
      </c>
      <c r="D7" s="7"/>
      <c r="J7"/>
      <c r="K7"/>
      <c r="L7"/>
      <c r="M7"/>
      <c r="N7"/>
      <c r="O7"/>
      <c r="P7"/>
      <c r="Q7"/>
      <c r="R7"/>
      <c r="U7" s="10"/>
    </row>
    <row r="8" spans="2:21" s="9" customFormat="1">
      <c r="B8" s="9">
        <v>3</v>
      </c>
      <c r="D8" s="7"/>
      <c r="J8"/>
      <c r="K8"/>
      <c r="L8" s="12"/>
      <c r="M8"/>
      <c r="N8"/>
      <c r="O8"/>
      <c r="P8"/>
      <c r="Q8"/>
      <c r="R8"/>
      <c r="S8" s="30"/>
      <c r="U8" s="10"/>
    </row>
    <row r="9" spans="2:21" s="9" customFormat="1">
      <c r="B9" s="9">
        <v>4</v>
      </c>
      <c r="D9" s="7"/>
      <c r="J9"/>
      <c r="K9"/>
      <c r="L9"/>
      <c r="M9"/>
      <c r="N9"/>
      <c r="O9"/>
      <c r="P9"/>
      <c r="Q9"/>
      <c r="R9"/>
      <c r="U9" s="10"/>
    </row>
    <row r="10" spans="2:21" s="9" customFormat="1">
      <c r="B10" s="9">
        <v>5</v>
      </c>
      <c r="D10" s="7"/>
      <c r="J10"/>
      <c r="K10"/>
      <c r="L10"/>
      <c r="M10"/>
      <c r="N10"/>
      <c r="O10"/>
      <c r="P10"/>
      <c r="Q10"/>
      <c r="R10"/>
      <c r="U10" s="10"/>
    </row>
    <row r="11" spans="2:21" s="9" customFormat="1">
      <c r="B11" s="9">
        <v>6</v>
      </c>
      <c r="D11" s="7"/>
      <c r="J11"/>
      <c r="K11"/>
      <c r="L11"/>
      <c r="M11"/>
      <c r="N11"/>
      <c r="O11"/>
      <c r="P11"/>
      <c r="Q11"/>
      <c r="R11"/>
      <c r="U11" s="10"/>
    </row>
    <row r="12" spans="2:21" s="9" customFormat="1">
      <c r="B12" s="9">
        <v>7</v>
      </c>
      <c r="D12" s="7"/>
      <c r="J12"/>
      <c r="K12"/>
      <c r="L12"/>
      <c r="M12"/>
      <c r="N12"/>
      <c r="O12"/>
      <c r="P12"/>
      <c r="Q12"/>
      <c r="R12"/>
      <c r="U12" s="10"/>
    </row>
    <row r="13" spans="2:21" s="9" customFormat="1">
      <c r="B13" s="10">
        <v>8</v>
      </c>
      <c r="C13" s="10"/>
      <c r="D13" s="8"/>
      <c r="E13" s="10"/>
      <c r="F13" s="10"/>
      <c r="G13" s="10"/>
      <c r="H13" s="10"/>
      <c r="I13" s="10"/>
      <c r="J13"/>
      <c r="K13"/>
      <c r="L13"/>
      <c r="M13"/>
      <c r="N13"/>
      <c r="O13"/>
      <c r="P13"/>
      <c r="Q13"/>
      <c r="R13"/>
      <c r="U13" s="10"/>
    </row>
    <row r="14" spans="2:21" s="9" customFormat="1">
      <c r="B14" s="10">
        <v>9</v>
      </c>
      <c r="C14" s="10"/>
      <c r="D14" s="8"/>
      <c r="E14" s="10"/>
      <c r="F14" s="10"/>
      <c r="G14" s="10"/>
      <c r="H14" s="10"/>
      <c r="I14" s="10"/>
      <c r="J14"/>
      <c r="K14"/>
      <c r="L14"/>
      <c r="M14"/>
      <c r="N14"/>
      <c r="O14"/>
      <c r="P14"/>
      <c r="Q14"/>
      <c r="R14"/>
      <c r="U14" s="10"/>
    </row>
    <row r="15" spans="2:21">
      <c r="B15" s="10">
        <v>10</v>
      </c>
      <c r="C15" s="10"/>
      <c r="D15" s="8"/>
      <c r="E15" s="10"/>
      <c r="F15" s="10"/>
      <c r="G15" s="10"/>
      <c r="H15" s="10"/>
      <c r="I15" s="10"/>
      <c r="U15" s="1"/>
    </row>
    <row r="16" spans="2:21">
      <c r="B16" s="123" t="s">
        <v>68</v>
      </c>
      <c r="C16" s="123"/>
      <c r="D16" s="20"/>
      <c r="E16" s="21"/>
      <c r="F16" s="21"/>
      <c r="G16" s="21"/>
      <c r="H16" s="21"/>
      <c r="I16" s="21"/>
      <c r="J16" s="123" t="s">
        <v>68</v>
      </c>
      <c r="K16" s="123"/>
      <c r="L16" s="22"/>
      <c r="M16" s="22"/>
      <c r="N16" s="22"/>
      <c r="O16" s="22"/>
      <c r="P16" s="22"/>
      <c r="Q16" s="22"/>
      <c r="R16" s="22"/>
      <c r="S16" s="22"/>
      <c r="T16" s="22"/>
    </row>
    <row r="17" spans="2:20">
      <c r="B17" s="14"/>
      <c r="C17" s="14"/>
      <c r="D17" s="14"/>
      <c r="E17" s="14"/>
      <c r="F17" s="14"/>
      <c r="G17" s="14"/>
      <c r="H17" s="14"/>
      <c r="I17" s="14"/>
      <c r="J17" s="14"/>
      <c r="K17" s="14"/>
      <c r="L17" s="14"/>
      <c r="M17" s="14"/>
      <c r="N17" s="14"/>
      <c r="O17" s="14"/>
      <c r="P17" s="14"/>
      <c r="Q17" s="14"/>
      <c r="R17" s="14"/>
    </row>
    <row r="18" spans="2:20" ht="30.75" customHeight="1">
      <c r="B18" s="124" t="s">
        <v>69</v>
      </c>
      <c r="C18" s="124"/>
      <c r="D18" s="124"/>
      <c r="E18" s="124"/>
      <c r="F18" s="124"/>
      <c r="G18" s="124"/>
      <c r="H18" s="124"/>
      <c r="I18" s="124"/>
      <c r="J18" s="124"/>
      <c r="K18" s="124"/>
      <c r="L18" s="124"/>
      <c r="M18" s="124"/>
      <c r="N18" s="124"/>
      <c r="O18" s="124"/>
      <c r="P18" s="124"/>
      <c r="Q18" s="124"/>
      <c r="R18" s="124"/>
      <c r="S18" s="124"/>
      <c r="T18" s="124"/>
    </row>
    <row r="19" spans="2:20" ht="30.75" customHeight="1">
      <c r="B19" s="118"/>
      <c r="C19" s="119"/>
      <c r="D19" s="18" t="s">
        <v>26</v>
      </c>
      <c r="E19" s="120" t="s">
        <v>27</v>
      </c>
      <c r="F19" s="125"/>
      <c r="G19" s="24"/>
      <c r="I19" s="128" t="s">
        <v>70</v>
      </c>
      <c r="J19" s="129"/>
      <c r="K19" s="26"/>
      <c r="L19" s="24"/>
      <c r="M19" s="24"/>
      <c r="N19" s="24"/>
      <c r="O19" s="24"/>
      <c r="P19" s="24"/>
      <c r="Q19" s="24"/>
      <c r="R19" s="24"/>
      <c r="S19" s="24"/>
      <c r="T19" s="24"/>
    </row>
    <row r="20" spans="2:20" ht="30" customHeight="1">
      <c r="B20" s="114" t="s">
        <v>71</v>
      </c>
      <c r="C20" s="115"/>
      <c r="D20" s="24"/>
      <c r="E20" s="121"/>
      <c r="F20" s="126"/>
      <c r="G20" s="24"/>
      <c r="I20" s="114" t="s">
        <v>72</v>
      </c>
      <c r="J20" s="115"/>
      <c r="K20" s="27"/>
      <c r="L20" s="24"/>
      <c r="M20" s="24"/>
      <c r="N20" s="24"/>
      <c r="O20" s="24"/>
      <c r="P20" s="24"/>
      <c r="Q20" s="24"/>
      <c r="R20" s="24"/>
      <c r="S20" s="24"/>
      <c r="T20" s="24"/>
    </row>
    <row r="21" spans="2:20" ht="30" customHeight="1">
      <c r="B21" s="116" t="s">
        <v>73</v>
      </c>
      <c r="C21" s="117"/>
      <c r="D21" s="29"/>
      <c r="E21" s="122"/>
      <c r="F21" s="127"/>
      <c r="G21" s="24"/>
      <c r="I21" s="116" t="s">
        <v>74</v>
      </c>
      <c r="J21" s="117"/>
      <c r="K21" s="28"/>
      <c r="L21" s="24"/>
      <c r="M21" s="24"/>
      <c r="N21" s="24"/>
      <c r="O21" s="24"/>
      <c r="P21" s="24"/>
      <c r="Q21" s="24"/>
      <c r="R21" s="24"/>
      <c r="S21" s="24"/>
      <c r="T21" s="24"/>
    </row>
    <row r="22" spans="2:20">
      <c r="B22" s="14"/>
      <c r="C22" s="14"/>
      <c r="D22" s="14"/>
      <c r="E22" s="14"/>
      <c r="F22" s="14"/>
      <c r="G22" s="14"/>
      <c r="H22" s="14"/>
      <c r="I22" s="14"/>
      <c r="K22" s="5"/>
    </row>
    <row r="23" spans="2:20" ht="37.5" customHeight="1">
      <c r="B23" s="124" t="s">
        <v>75</v>
      </c>
      <c r="C23" s="124"/>
      <c r="D23" s="124"/>
      <c r="E23" s="124"/>
      <c r="F23" s="124"/>
      <c r="G23" s="124"/>
      <c r="H23" s="124"/>
      <c r="I23" s="124"/>
      <c r="J23" s="124"/>
      <c r="K23" s="124"/>
      <c r="L23" s="124"/>
      <c r="M23" s="124"/>
      <c r="N23" s="124"/>
      <c r="O23" s="124"/>
      <c r="P23" s="124"/>
      <c r="Q23" s="124"/>
      <c r="R23" s="124"/>
      <c r="S23" s="124"/>
      <c r="T23" s="124"/>
    </row>
    <row r="24" spans="2:20" ht="30" customHeight="1">
      <c r="B24" s="118"/>
      <c r="C24" s="119"/>
      <c r="D24" s="18" t="s">
        <v>76</v>
      </c>
      <c r="E24" s="120" t="s">
        <v>77</v>
      </c>
      <c r="F24" s="120"/>
      <c r="G24" s="19" t="s">
        <v>78</v>
      </c>
      <c r="H24" s="36"/>
      <c r="I24" s="13"/>
      <c r="J24" s="9"/>
      <c r="K24" s="9"/>
      <c r="L24" s="9"/>
      <c r="M24" s="9"/>
      <c r="N24" s="9"/>
      <c r="O24" s="9"/>
      <c r="P24" s="9"/>
      <c r="Q24" s="9"/>
      <c r="R24" s="9"/>
    </row>
    <row r="25" spans="2:20" ht="37.5" customHeight="1">
      <c r="B25" s="114" t="s">
        <v>3</v>
      </c>
      <c r="C25" s="115"/>
      <c r="D25" s="24"/>
      <c r="E25" s="121"/>
      <c r="F25" s="121"/>
      <c r="G25" s="38"/>
      <c r="H25" s="35"/>
    </row>
    <row r="26" spans="2:20" ht="37.5" customHeight="1">
      <c r="B26" s="31"/>
      <c r="C26" s="32" t="s">
        <v>29</v>
      </c>
      <c r="D26" s="24"/>
      <c r="E26" s="33"/>
      <c r="F26" s="33"/>
      <c r="G26" s="39"/>
      <c r="H26" s="35"/>
    </row>
    <row r="27" spans="2:20" ht="37.5" customHeight="1">
      <c r="B27" s="114" t="s">
        <v>79</v>
      </c>
      <c r="C27" s="115"/>
      <c r="D27" s="24"/>
      <c r="E27" s="33"/>
      <c r="F27" s="33"/>
      <c r="G27" s="34"/>
      <c r="H27" s="35"/>
    </row>
    <row r="28" spans="2:20" ht="37.5" customHeight="1">
      <c r="B28" s="114" t="s">
        <v>80</v>
      </c>
      <c r="C28" s="115"/>
      <c r="D28" s="24"/>
      <c r="E28" s="33"/>
      <c r="F28" s="33"/>
      <c r="G28" s="34"/>
      <c r="H28" s="33"/>
    </row>
    <row r="29" spans="2:20" ht="37.5" customHeight="1">
      <c r="B29" s="116" t="s">
        <v>81</v>
      </c>
      <c r="C29" s="117"/>
      <c r="D29" s="29"/>
      <c r="E29" s="122"/>
      <c r="F29" s="122"/>
      <c r="G29" s="37"/>
      <c r="H29" s="35"/>
    </row>
    <row r="30" spans="2:20">
      <c r="L30" s="12"/>
    </row>
    <row r="35" spans="2:11">
      <c r="B35" s="10"/>
      <c r="C35" s="10"/>
      <c r="D35" s="8"/>
      <c r="E35" s="10"/>
      <c r="F35" s="10"/>
      <c r="G35" s="10"/>
      <c r="H35" s="10"/>
      <c r="I35" s="10"/>
    </row>
    <row r="36" spans="2:11">
      <c r="B36" s="10"/>
      <c r="C36" s="10"/>
      <c r="D36" s="8"/>
      <c r="E36" s="10"/>
      <c r="F36" s="10"/>
      <c r="G36" s="10"/>
      <c r="H36" s="10"/>
      <c r="I36" s="10"/>
    </row>
    <row r="37" spans="2:11">
      <c r="B37" s="10"/>
      <c r="C37" s="10"/>
      <c r="D37" s="8"/>
      <c r="E37" s="10"/>
      <c r="F37" s="10"/>
      <c r="G37" s="10"/>
      <c r="H37" s="10"/>
      <c r="I37" s="10"/>
    </row>
    <row r="38" spans="2:11">
      <c r="B38" s="113"/>
      <c r="C38" s="113"/>
      <c r="D38" s="8"/>
      <c r="E38" s="10"/>
      <c r="F38" s="10"/>
      <c r="G38" s="10"/>
      <c r="H38" s="10"/>
      <c r="I38" s="10"/>
      <c r="J38" s="113"/>
      <c r="K38" s="113"/>
    </row>
    <row r="39" spans="2:11">
      <c r="B39" s="10"/>
      <c r="C39" s="10"/>
      <c r="D39" s="8"/>
      <c r="E39" s="10"/>
      <c r="F39" s="10"/>
      <c r="G39" s="10"/>
      <c r="H39" s="10"/>
      <c r="I39" s="10"/>
    </row>
    <row r="40" spans="2:11">
      <c r="B40" s="10"/>
      <c r="C40" s="10"/>
      <c r="D40" s="8"/>
      <c r="E40" s="10"/>
      <c r="F40" s="10"/>
      <c r="G40" s="10"/>
      <c r="H40" s="10"/>
      <c r="I40" s="10"/>
    </row>
    <row r="41" spans="2:11">
      <c r="B41" s="10"/>
      <c r="C41" s="10"/>
      <c r="D41" s="8"/>
      <c r="E41" s="10"/>
      <c r="F41" s="10"/>
      <c r="G41" s="10"/>
      <c r="H41" s="10"/>
      <c r="I41" s="10"/>
    </row>
    <row r="42" spans="2:11">
      <c r="B42" s="10"/>
      <c r="C42" s="10"/>
      <c r="D42" s="8"/>
      <c r="E42" s="10"/>
      <c r="F42" s="10"/>
      <c r="G42" s="10"/>
      <c r="H42" s="10"/>
      <c r="I42" s="10"/>
    </row>
    <row r="43" spans="2:11">
      <c r="B43" s="10"/>
      <c r="C43" s="10"/>
      <c r="D43" s="8"/>
      <c r="E43" s="10"/>
      <c r="F43" s="10"/>
      <c r="G43" s="10"/>
      <c r="H43" s="10"/>
      <c r="I43" s="10"/>
    </row>
    <row r="44" spans="2:11">
      <c r="B44" s="10"/>
      <c r="C44" s="10"/>
      <c r="D44" s="8"/>
      <c r="E44" s="10"/>
      <c r="F44" s="10"/>
      <c r="G44" s="10"/>
      <c r="H44" s="10"/>
      <c r="I44" s="10"/>
    </row>
    <row r="45" spans="2:11">
      <c r="B45" s="10"/>
      <c r="C45" s="10"/>
      <c r="D45" s="8"/>
      <c r="E45" s="10"/>
      <c r="F45" s="10"/>
      <c r="G45" s="10"/>
      <c r="H45" s="10"/>
      <c r="I45" s="10"/>
    </row>
  </sheetData>
  <mergeCells count="24">
    <mergeCell ref="B16:C16"/>
    <mergeCell ref="J16:K16"/>
    <mergeCell ref="B3:T3"/>
    <mergeCell ref="B18:T18"/>
    <mergeCell ref="B23:T23"/>
    <mergeCell ref="B20:C20"/>
    <mergeCell ref="E19:F19"/>
    <mergeCell ref="B21:C21"/>
    <mergeCell ref="E20:F20"/>
    <mergeCell ref="E21:F21"/>
    <mergeCell ref="I19:J19"/>
    <mergeCell ref="B38:C38"/>
    <mergeCell ref="J38:K38"/>
    <mergeCell ref="I20:J20"/>
    <mergeCell ref="I21:J21"/>
    <mergeCell ref="B19:C19"/>
    <mergeCell ref="B24:C24"/>
    <mergeCell ref="E24:F24"/>
    <mergeCell ref="B25:C25"/>
    <mergeCell ref="E25:F25"/>
    <mergeCell ref="B29:C29"/>
    <mergeCell ref="E29:F29"/>
    <mergeCell ref="B27:C27"/>
    <mergeCell ref="B28:C28"/>
  </mergeCells>
  <phoneticPr fontId="5" type="noConversion"/>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R15"/>
  <sheetViews>
    <sheetView workbookViewId="0">
      <selection activeCell="H27" sqref="H27"/>
    </sheetView>
  </sheetViews>
  <sheetFormatPr defaultColWidth="8.85546875" defaultRowHeight="15"/>
  <cols>
    <col min="4" max="4" width="10.42578125" customWidth="1"/>
    <col min="7" max="7" width="9.140625" customWidth="1"/>
    <col min="11" max="11" width="11.42578125" customWidth="1"/>
    <col min="12" max="12" width="10.42578125" customWidth="1"/>
    <col min="18" max="18" width="13.7109375" customWidth="1"/>
  </cols>
  <sheetData>
    <row r="2" spans="2:18">
      <c r="B2" s="17" t="s">
        <v>82</v>
      </c>
      <c r="C2" s="16"/>
      <c r="D2" s="16"/>
      <c r="E2" s="16"/>
      <c r="F2" s="16"/>
      <c r="G2" s="16"/>
      <c r="H2" s="16"/>
      <c r="I2" s="16"/>
      <c r="J2" s="16"/>
      <c r="K2" s="16"/>
      <c r="L2" s="16"/>
      <c r="M2" s="16"/>
      <c r="N2" s="16"/>
      <c r="O2" s="16"/>
      <c r="P2" s="16"/>
      <c r="Q2" s="16"/>
      <c r="R2" s="16"/>
    </row>
    <row r="3" spans="2:18" ht="51" customHeight="1">
      <c r="B3" s="15" t="s">
        <v>55</v>
      </c>
      <c r="C3" s="15" t="s">
        <v>56</v>
      </c>
      <c r="D3" s="15" t="s">
        <v>57</v>
      </c>
      <c r="E3" s="15" t="s">
        <v>58</v>
      </c>
      <c r="F3" s="15" t="s">
        <v>59</v>
      </c>
      <c r="G3" s="15" t="s">
        <v>60</v>
      </c>
      <c r="H3" s="15" t="s">
        <v>61</v>
      </c>
      <c r="I3" s="15" t="s">
        <v>62</v>
      </c>
      <c r="J3" s="15"/>
      <c r="K3" s="15" t="s">
        <v>63</v>
      </c>
      <c r="L3" s="15" t="s">
        <v>57</v>
      </c>
      <c r="M3" s="15" t="s">
        <v>58</v>
      </c>
      <c r="N3" s="15" t="s">
        <v>59</v>
      </c>
      <c r="O3" s="15" t="s">
        <v>60</v>
      </c>
      <c r="P3" s="15" t="s">
        <v>61</v>
      </c>
      <c r="Q3" s="15" t="s">
        <v>62</v>
      </c>
      <c r="R3" s="15" t="s">
        <v>64</v>
      </c>
    </row>
    <row r="4" spans="2:18">
      <c r="B4" s="9" t="s">
        <v>67</v>
      </c>
      <c r="C4" s="9">
        <v>10000</v>
      </c>
      <c r="D4" s="9"/>
      <c r="E4" s="9">
        <v>0.05</v>
      </c>
      <c r="F4" s="13"/>
      <c r="G4" s="13"/>
      <c r="H4" s="13"/>
      <c r="I4" s="13"/>
      <c r="J4" s="9"/>
      <c r="K4" s="9">
        <v>10000</v>
      </c>
      <c r="L4" s="9"/>
      <c r="M4" s="9">
        <v>0.01</v>
      </c>
      <c r="N4" s="9"/>
      <c r="O4" s="9"/>
      <c r="P4" s="9"/>
      <c r="Q4" s="9"/>
      <c r="R4" s="9"/>
    </row>
    <row r="5" spans="2:18">
      <c r="B5" s="9">
        <v>1</v>
      </c>
      <c r="C5" s="9">
        <f t="shared" ref="C5:C14" si="0">C4-0.05*C4</f>
        <v>9500</v>
      </c>
      <c r="D5" s="10">
        <f t="shared" ref="D5:D14" si="1">(C4+C5)/2</f>
        <v>9750</v>
      </c>
      <c r="E5" s="9">
        <v>0.05</v>
      </c>
      <c r="F5" s="10">
        <f t="shared" ref="F5:F14" si="2">C4*E4</f>
        <v>500</v>
      </c>
      <c r="G5" s="10">
        <v>9500</v>
      </c>
      <c r="H5" s="10">
        <f t="shared" ref="H5:H14" si="3">F5/2</f>
        <v>250</v>
      </c>
      <c r="I5" s="10">
        <f t="shared" ref="I5:I14" si="4">SUM(G5:H5)</f>
        <v>9750</v>
      </c>
      <c r="J5" s="9"/>
      <c r="K5" s="10">
        <f t="shared" ref="K5:K14" si="5">K4-0.01*K4</f>
        <v>9900</v>
      </c>
      <c r="L5" s="10">
        <f t="shared" ref="L5:L14" si="6">(K4+K5)/2</f>
        <v>9950</v>
      </c>
      <c r="M5" s="9">
        <v>0.01</v>
      </c>
      <c r="N5" s="10">
        <f t="shared" ref="N5:N14" si="7">K4*M4</f>
        <v>100</v>
      </c>
      <c r="O5" s="10">
        <v>9900</v>
      </c>
      <c r="P5" s="10">
        <f t="shared" ref="P5:P14" si="8">N5/2</f>
        <v>50</v>
      </c>
      <c r="Q5" s="10">
        <f t="shared" ref="Q5:Q14" si="9">SUM(O5:P5)</f>
        <v>9950</v>
      </c>
      <c r="R5" s="11">
        <f t="shared" ref="R5:R14" si="10">C5/(C5+K5)</f>
        <v>0.48969072164948452</v>
      </c>
    </row>
    <row r="6" spans="2:18">
      <c r="B6" s="9">
        <v>2</v>
      </c>
      <c r="C6" s="9">
        <f t="shared" si="0"/>
        <v>9025</v>
      </c>
      <c r="D6" s="10">
        <f t="shared" si="1"/>
        <v>9262.5</v>
      </c>
      <c r="E6" s="9">
        <v>0.05</v>
      </c>
      <c r="F6" s="10">
        <f t="shared" si="2"/>
        <v>475</v>
      </c>
      <c r="G6" s="10">
        <v>9025</v>
      </c>
      <c r="H6" s="10">
        <f t="shared" si="3"/>
        <v>237.5</v>
      </c>
      <c r="I6" s="10">
        <f t="shared" si="4"/>
        <v>9262.5</v>
      </c>
      <c r="J6" s="10"/>
      <c r="K6" s="10">
        <f t="shared" si="5"/>
        <v>9801</v>
      </c>
      <c r="L6" s="10">
        <f t="shared" si="6"/>
        <v>9850.5</v>
      </c>
      <c r="M6" s="9">
        <v>0.01</v>
      </c>
      <c r="N6" s="10">
        <f t="shared" si="7"/>
        <v>99</v>
      </c>
      <c r="O6" s="10">
        <v>9801</v>
      </c>
      <c r="P6" s="10">
        <f t="shared" si="8"/>
        <v>49.5</v>
      </c>
      <c r="Q6" s="10">
        <f t="shared" si="9"/>
        <v>9850.5</v>
      </c>
      <c r="R6" s="11">
        <f t="shared" si="10"/>
        <v>0.4793902050355891</v>
      </c>
    </row>
    <row r="7" spans="2:18">
      <c r="B7" s="9">
        <v>3</v>
      </c>
      <c r="C7" s="10">
        <f t="shared" si="0"/>
        <v>8573.75</v>
      </c>
      <c r="D7" s="10">
        <f t="shared" si="1"/>
        <v>8799.375</v>
      </c>
      <c r="E7" s="9">
        <v>0.05</v>
      </c>
      <c r="F7" s="10">
        <f t="shared" si="2"/>
        <v>451.25</v>
      </c>
      <c r="G7" s="10">
        <v>8573.75</v>
      </c>
      <c r="H7" s="10">
        <f t="shared" si="3"/>
        <v>225.625</v>
      </c>
      <c r="I7" s="10">
        <f t="shared" si="4"/>
        <v>8799.375</v>
      </c>
      <c r="J7" s="10"/>
      <c r="K7" s="10">
        <f t="shared" si="5"/>
        <v>9702.99</v>
      </c>
      <c r="L7" s="10">
        <f t="shared" si="6"/>
        <v>9751.994999999999</v>
      </c>
      <c r="M7" s="9">
        <v>0.01</v>
      </c>
      <c r="N7" s="10">
        <f t="shared" si="7"/>
        <v>98.01</v>
      </c>
      <c r="O7" s="10">
        <v>9702.99</v>
      </c>
      <c r="P7" s="10">
        <f t="shared" si="8"/>
        <v>49.005000000000003</v>
      </c>
      <c r="Q7" s="10">
        <f t="shared" si="9"/>
        <v>9751.994999999999</v>
      </c>
      <c r="R7" s="11">
        <f t="shared" si="10"/>
        <v>0.46910718213423186</v>
      </c>
    </row>
    <row r="8" spans="2:18">
      <c r="B8" s="9">
        <v>4</v>
      </c>
      <c r="C8" s="10">
        <f t="shared" si="0"/>
        <v>8145.0625</v>
      </c>
      <c r="D8" s="10">
        <f t="shared" si="1"/>
        <v>8359.40625</v>
      </c>
      <c r="E8" s="9">
        <v>0.05</v>
      </c>
      <c r="F8" s="10">
        <f t="shared" si="2"/>
        <v>428.6875</v>
      </c>
      <c r="G8" s="10">
        <v>8145.0625</v>
      </c>
      <c r="H8" s="10">
        <f t="shared" si="3"/>
        <v>214.34375</v>
      </c>
      <c r="I8" s="10">
        <f t="shared" si="4"/>
        <v>8359.40625</v>
      </c>
      <c r="J8" s="10"/>
      <c r="K8" s="10">
        <f t="shared" si="5"/>
        <v>9605.9601000000002</v>
      </c>
      <c r="L8" s="10">
        <f t="shared" si="6"/>
        <v>9654.4750500000009</v>
      </c>
      <c r="M8" s="9">
        <v>0.01</v>
      </c>
      <c r="N8" s="10">
        <f t="shared" si="7"/>
        <v>97.029899999999998</v>
      </c>
      <c r="O8" s="10">
        <v>9605.9601000000002</v>
      </c>
      <c r="P8" s="10">
        <f t="shared" si="8"/>
        <v>48.514949999999999</v>
      </c>
      <c r="Q8" s="10">
        <f t="shared" si="9"/>
        <v>9654.4750500000009</v>
      </c>
      <c r="R8" s="11">
        <f t="shared" si="10"/>
        <v>0.45885032561448036</v>
      </c>
    </row>
    <row r="9" spans="2:18">
      <c r="B9" s="9">
        <v>5</v>
      </c>
      <c r="C9" s="10">
        <f t="shared" si="0"/>
        <v>7737.8093749999998</v>
      </c>
      <c r="D9" s="10">
        <f t="shared" si="1"/>
        <v>7941.4359375000004</v>
      </c>
      <c r="E9" s="9">
        <v>0.05</v>
      </c>
      <c r="F9" s="10">
        <f t="shared" si="2"/>
        <v>407.25312500000001</v>
      </c>
      <c r="G9" s="10">
        <v>7737.8093749999998</v>
      </c>
      <c r="H9" s="10">
        <f t="shared" si="3"/>
        <v>203.62656250000001</v>
      </c>
      <c r="I9" s="10">
        <f t="shared" si="4"/>
        <v>7941.4359374999995</v>
      </c>
      <c r="J9" s="10"/>
      <c r="K9" s="10">
        <f t="shared" si="5"/>
        <v>9509.9004989999994</v>
      </c>
      <c r="L9" s="10">
        <f t="shared" si="6"/>
        <v>9557.9302994999998</v>
      </c>
      <c r="M9" s="9">
        <v>0.01</v>
      </c>
      <c r="N9" s="10">
        <f t="shared" si="7"/>
        <v>96.059601000000001</v>
      </c>
      <c r="O9" s="10">
        <v>9509.9004989999994</v>
      </c>
      <c r="P9" s="10">
        <f t="shared" si="8"/>
        <v>48.0298005</v>
      </c>
      <c r="Q9" s="10">
        <f t="shared" si="9"/>
        <v>9557.9302994999998</v>
      </c>
      <c r="R9" s="11">
        <f t="shared" si="10"/>
        <v>0.44862821971885863</v>
      </c>
    </row>
    <row r="10" spans="2:18">
      <c r="B10" s="9">
        <v>6</v>
      </c>
      <c r="C10" s="10">
        <f t="shared" si="0"/>
        <v>7350.91890625</v>
      </c>
      <c r="D10" s="10">
        <f t="shared" si="1"/>
        <v>7544.3641406249999</v>
      </c>
      <c r="E10" s="9">
        <v>0.05</v>
      </c>
      <c r="F10" s="10">
        <f t="shared" si="2"/>
        <v>386.89046875000003</v>
      </c>
      <c r="G10" s="10">
        <v>7350.91890625</v>
      </c>
      <c r="H10" s="10">
        <f t="shared" si="3"/>
        <v>193.44523437500001</v>
      </c>
      <c r="I10" s="10">
        <f t="shared" si="4"/>
        <v>7544.3641406249999</v>
      </c>
      <c r="J10" s="10"/>
      <c r="K10" s="10">
        <f t="shared" si="5"/>
        <v>9414.8014940100002</v>
      </c>
      <c r="L10" s="10">
        <f t="shared" si="6"/>
        <v>9462.3509965049998</v>
      </c>
      <c r="M10" s="9">
        <v>0.01</v>
      </c>
      <c r="N10" s="10">
        <f t="shared" si="7"/>
        <v>95.099004989999997</v>
      </c>
      <c r="O10" s="10">
        <v>9414.8014940100002</v>
      </c>
      <c r="P10" s="10">
        <f t="shared" si="8"/>
        <v>47.549502494999999</v>
      </c>
      <c r="Q10" s="10">
        <f t="shared" si="9"/>
        <v>9462.3509965049998</v>
      </c>
      <c r="R10" s="11">
        <f t="shared" si="10"/>
        <v>0.43844933177676054</v>
      </c>
    </row>
    <row r="11" spans="2:18">
      <c r="B11" s="9">
        <v>7</v>
      </c>
      <c r="C11" s="10">
        <f t="shared" si="0"/>
        <v>6983.3729609374996</v>
      </c>
      <c r="D11" s="10">
        <f t="shared" si="1"/>
        <v>7167.1459335937498</v>
      </c>
      <c r="E11" s="9">
        <v>0.05</v>
      </c>
      <c r="F11" s="10">
        <f t="shared" si="2"/>
        <v>367.54594531250001</v>
      </c>
      <c r="G11" s="10">
        <v>6983.3729609374996</v>
      </c>
      <c r="H11" s="10">
        <f t="shared" si="3"/>
        <v>183.77297265625</v>
      </c>
      <c r="I11" s="10">
        <f t="shared" si="4"/>
        <v>7167.1459335937498</v>
      </c>
      <c r="J11" s="10"/>
      <c r="K11" s="10">
        <f t="shared" si="5"/>
        <v>9320.6534790699006</v>
      </c>
      <c r="L11" s="10">
        <f t="shared" si="6"/>
        <v>9367.7274865399504</v>
      </c>
      <c r="M11" s="9">
        <v>0.01</v>
      </c>
      <c r="N11" s="10">
        <f t="shared" si="7"/>
        <v>94.148014940099998</v>
      </c>
      <c r="O11" s="10">
        <v>9320.6534790699006</v>
      </c>
      <c r="P11" s="10">
        <f t="shared" si="8"/>
        <v>47.074007470049999</v>
      </c>
      <c r="Q11" s="10">
        <f t="shared" si="9"/>
        <v>9367.7274865399504</v>
      </c>
      <c r="R11" s="11">
        <f t="shared" si="10"/>
        <v>0.42832198454986864</v>
      </c>
    </row>
    <row r="12" spans="2:18">
      <c r="B12" s="9">
        <v>8</v>
      </c>
      <c r="C12" s="10">
        <f t="shared" si="0"/>
        <v>6634.2043128906244</v>
      </c>
      <c r="D12" s="10">
        <f t="shared" si="1"/>
        <v>6808.7886369140615</v>
      </c>
      <c r="E12" s="9">
        <v>0.05</v>
      </c>
      <c r="F12" s="10">
        <f t="shared" si="2"/>
        <v>349.16864804687498</v>
      </c>
      <c r="G12" s="10">
        <v>6634.2043128906244</v>
      </c>
      <c r="H12" s="10">
        <f t="shared" si="3"/>
        <v>174.58432402343749</v>
      </c>
      <c r="I12" s="10">
        <f t="shared" si="4"/>
        <v>6808.7886369140615</v>
      </c>
      <c r="J12" s="10"/>
      <c r="K12" s="10">
        <f t="shared" si="5"/>
        <v>9227.4469442792015</v>
      </c>
      <c r="L12" s="10">
        <f t="shared" si="6"/>
        <v>9274.050211674552</v>
      </c>
      <c r="M12" s="9">
        <v>0.01</v>
      </c>
      <c r="N12" s="10">
        <f t="shared" si="7"/>
        <v>93.20653479069901</v>
      </c>
      <c r="O12" s="10">
        <v>9227.4469442792015</v>
      </c>
      <c r="P12" s="10">
        <f t="shared" si="8"/>
        <v>46.603267395349505</v>
      </c>
      <c r="Q12" s="10">
        <f t="shared" si="9"/>
        <v>9274.0502116745502</v>
      </c>
      <c r="R12" s="11">
        <f t="shared" si="10"/>
        <v>0.41825432959836473</v>
      </c>
    </row>
    <row r="13" spans="2:18">
      <c r="B13" s="9">
        <v>9</v>
      </c>
      <c r="C13" s="10">
        <f t="shared" si="0"/>
        <v>6302.4940972460936</v>
      </c>
      <c r="D13" s="10">
        <f t="shared" si="1"/>
        <v>6468.349205068359</v>
      </c>
      <c r="E13" s="9">
        <v>0.05</v>
      </c>
      <c r="F13" s="10">
        <f t="shared" si="2"/>
        <v>331.71021564453122</v>
      </c>
      <c r="G13" s="10">
        <v>6302.4940972460936</v>
      </c>
      <c r="H13" s="10">
        <f t="shared" si="3"/>
        <v>165.85510782226561</v>
      </c>
      <c r="I13" s="10">
        <f t="shared" si="4"/>
        <v>6468.349205068359</v>
      </c>
      <c r="J13" s="10"/>
      <c r="K13" s="10">
        <f t="shared" si="5"/>
        <v>9135.1724748364086</v>
      </c>
      <c r="L13" s="10">
        <f t="shared" si="6"/>
        <v>9181.309709557805</v>
      </c>
      <c r="M13" s="9">
        <v>0.01</v>
      </c>
      <c r="N13" s="10">
        <f t="shared" si="7"/>
        <v>92.274469442792011</v>
      </c>
      <c r="O13" s="10">
        <v>9135.1724748364086</v>
      </c>
      <c r="P13" s="10">
        <f t="shared" si="8"/>
        <v>46.137234721396005</v>
      </c>
      <c r="Q13" s="10">
        <f t="shared" si="9"/>
        <v>9181.309709557805</v>
      </c>
      <c r="R13" s="11">
        <f t="shared" si="10"/>
        <v>0.40825432184443811</v>
      </c>
    </row>
    <row r="14" spans="2:18">
      <c r="B14" s="9">
        <v>10</v>
      </c>
      <c r="C14" s="10">
        <f t="shared" si="0"/>
        <v>5987.3693923837891</v>
      </c>
      <c r="D14" s="10">
        <f t="shared" si="1"/>
        <v>6144.9317448149413</v>
      </c>
      <c r="E14" s="9">
        <v>0.05</v>
      </c>
      <c r="F14" s="10">
        <f t="shared" si="2"/>
        <v>315.12470486230472</v>
      </c>
      <c r="G14" s="10">
        <v>5987.3693923837891</v>
      </c>
      <c r="H14" s="10">
        <f t="shared" si="3"/>
        <v>157.56235243115236</v>
      </c>
      <c r="I14" s="10">
        <f t="shared" si="4"/>
        <v>6144.9317448149413</v>
      </c>
      <c r="J14" s="10"/>
      <c r="K14" s="10">
        <f t="shared" si="5"/>
        <v>9043.8207500880453</v>
      </c>
      <c r="L14" s="10">
        <f t="shared" si="6"/>
        <v>9089.496612462226</v>
      </c>
      <c r="M14" s="9">
        <v>0.01</v>
      </c>
      <c r="N14" s="10">
        <f t="shared" si="7"/>
        <v>91.351724748364092</v>
      </c>
      <c r="O14" s="10">
        <v>9043.8207500880453</v>
      </c>
      <c r="P14" s="10">
        <f t="shared" si="8"/>
        <v>45.675862374182046</v>
      </c>
      <c r="Q14" s="10">
        <f t="shared" si="9"/>
        <v>9089.4966124622279</v>
      </c>
      <c r="R14" s="11">
        <f t="shared" si="10"/>
        <v>0.3983296954953684</v>
      </c>
    </row>
    <row r="15" spans="2:18">
      <c r="B15" s="113" t="s">
        <v>68</v>
      </c>
      <c r="C15" s="113"/>
      <c r="D15" s="8">
        <f>SUM(D5:D14)</f>
        <v>78246.296848516111</v>
      </c>
      <c r="E15" s="9"/>
      <c r="F15" s="9"/>
      <c r="G15" s="9"/>
      <c r="H15" s="9"/>
      <c r="I15" s="9"/>
      <c r="J15" s="113" t="s">
        <v>68</v>
      </c>
      <c r="K15" s="113"/>
      <c r="L15" s="10">
        <f>SUM(L5:L14)</f>
        <v>95139.835366239553</v>
      </c>
      <c r="M15" s="1"/>
      <c r="N15" s="4"/>
    </row>
  </sheetData>
  <mergeCells count="2">
    <mergeCell ref="B15:C15"/>
    <mergeCell ref="J15:K15"/>
  </mergeCells>
  <phoneticPr fontId="5" type="noConversion"/>
  <pageMargins left="0.7" right="0.7" top="0.75" bottom="0.75" header="0.3" footer="0.3"/>
  <pageSetup paperSize="9"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2"/>
  <sheetViews>
    <sheetView workbookViewId="0">
      <selection activeCell="B7" sqref="B7"/>
    </sheetView>
  </sheetViews>
  <sheetFormatPr defaultColWidth="8.85546875" defaultRowHeight="15"/>
  <cols>
    <col min="9" max="9" width="12.42578125" customWidth="1"/>
    <col min="12" max="12" width="9.42578125" bestFit="1" customWidth="1"/>
    <col min="14" max="14" width="13.42578125" customWidth="1"/>
  </cols>
  <sheetData>
    <row r="1" spans="1:16">
      <c r="A1" t="s">
        <v>0</v>
      </c>
      <c r="B1" t="s">
        <v>1</v>
      </c>
      <c r="C1" t="s">
        <v>2</v>
      </c>
      <c r="D1" t="s">
        <v>3</v>
      </c>
      <c r="E1" t="s">
        <v>4</v>
      </c>
      <c r="F1" t="s">
        <v>2</v>
      </c>
      <c r="G1" t="s">
        <v>3</v>
      </c>
      <c r="H1" t="s">
        <v>5</v>
      </c>
      <c r="M1" t="s">
        <v>83</v>
      </c>
    </row>
    <row r="2" spans="1:16">
      <c r="A2">
        <v>0</v>
      </c>
      <c r="B2">
        <v>100000</v>
      </c>
      <c r="E2">
        <v>100000</v>
      </c>
    </row>
    <row r="3" spans="1:16">
      <c r="A3">
        <v>1</v>
      </c>
      <c r="B3">
        <f>B2-0.025*B2</f>
        <v>97500</v>
      </c>
      <c r="C3" s="1">
        <f>(B2+B3)/2</f>
        <v>98750</v>
      </c>
      <c r="D3">
        <f>B2-B3</f>
        <v>2500</v>
      </c>
      <c r="E3" s="1">
        <f>E2-0.01*E2</f>
        <v>99000</v>
      </c>
      <c r="F3" s="1">
        <f>(E2+E3)/2</f>
        <v>99500</v>
      </c>
      <c r="G3" s="1">
        <f>E2-E3</f>
        <v>1000</v>
      </c>
      <c r="H3" s="4">
        <f>B3/(B3+E3)</f>
        <v>0.49618320610687022</v>
      </c>
      <c r="M3" s="1">
        <f>D3+G3</f>
        <v>3500</v>
      </c>
    </row>
    <row r="4" spans="1:16">
      <c r="A4">
        <v>2</v>
      </c>
      <c r="B4">
        <f t="shared" ref="B4:B7" si="0">B3-0.025*B3</f>
        <v>95062.5</v>
      </c>
      <c r="C4" s="1">
        <f t="shared" ref="C4:C7" si="1">(B3+B4)/2</f>
        <v>96281.25</v>
      </c>
      <c r="D4">
        <f t="shared" ref="D4:D7" si="2">B3-B4</f>
        <v>2437.5</v>
      </c>
      <c r="E4" s="1">
        <f t="shared" ref="E4:E7" si="3">E3-0.01*E3</f>
        <v>98010</v>
      </c>
      <c r="F4" s="1">
        <f t="shared" ref="F4:F7" si="4">(E3+E4)/2</f>
        <v>98505</v>
      </c>
      <c r="G4" s="1">
        <f t="shared" ref="G4:G7" si="5">E3-E4</f>
        <v>990</v>
      </c>
      <c r="H4" s="4">
        <f t="shared" ref="H4:H7" si="6">B4/(B4+E4)</f>
        <v>0.49236685700967253</v>
      </c>
      <c r="I4" t="s">
        <v>8</v>
      </c>
      <c r="K4" t="s">
        <v>9</v>
      </c>
      <c r="L4" t="s">
        <v>10</v>
      </c>
      <c r="M4" s="1">
        <f t="shared" ref="M4:M7" si="7">D4+G4</f>
        <v>3427.5</v>
      </c>
    </row>
    <row r="5" spans="1:16">
      <c r="A5">
        <v>3</v>
      </c>
      <c r="B5">
        <f t="shared" si="0"/>
        <v>92685.9375</v>
      </c>
      <c r="C5" s="1">
        <f t="shared" si="1"/>
        <v>93874.21875</v>
      </c>
      <c r="D5">
        <f t="shared" si="2"/>
        <v>2376.5625</v>
      </c>
      <c r="E5" s="1">
        <f t="shared" si="3"/>
        <v>97029.9</v>
      </c>
      <c r="F5" s="1">
        <f t="shared" si="4"/>
        <v>97519.95</v>
      </c>
      <c r="G5" s="1">
        <f t="shared" si="5"/>
        <v>980.10000000000582</v>
      </c>
      <c r="H5" s="4">
        <f t="shared" si="6"/>
        <v>0.48855139729702324</v>
      </c>
      <c r="I5" t="s">
        <v>11</v>
      </c>
      <c r="J5">
        <f>B9/(B9+E9)</f>
        <v>0.70812514046555897</v>
      </c>
      <c r="K5">
        <f>B9/E9</f>
        <v>2.4261258458335999</v>
      </c>
      <c r="M5" s="1">
        <f t="shared" si="7"/>
        <v>3356.6625000000058</v>
      </c>
    </row>
    <row r="6" spans="1:16">
      <c r="A6">
        <v>4</v>
      </c>
      <c r="B6">
        <f t="shared" si="0"/>
        <v>90368.7890625</v>
      </c>
      <c r="C6" s="1">
        <f t="shared" si="1"/>
        <v>91527.36328125</v>
      </c>
      <c r="D6">
        <f t="shared" si="2"/>
        <v>2317.1484375</v>
      </c>
      <c r="E6" s="1">
        <f t="shared" si="3"/>
        <v>96059.600999999995</v>
      </c>
      <c r="F6" s="1">
        <f t="shared" si="4"/>
        <v>96544.750499999995</v>
      </c>
      <c r="G6" s="1">
        <f t="shared" si="5"/>
        <v>970.29899999999907</v>
      </c>
      <c r="H6" s="4">
        <f t="shared" si="6"/>
        <v>0.48473727114311249</v>
      </c>
      <c r="I6" t="s">
        <v>84</v>
      </c>
      <c r="J6">
        <f>C7/(C7+E7)</f>
        <v>0.48410577326516824</v>
      </c>
      <c r="K6">
        <f>C7/E7</f>
        <v>0.93838183910128781</v>
      </c>
      <c r="L6">
        <f>K5/K6</f>
        <v>2.5854356347701297</v>
      </c>
      <c r="M6" s="1">
        <f t="shared" si="7"/>
        <v>3287.4474374999991</v>
      </c>
    </row>
    <row r="7" spans="1:16">
      <c r="A7">
        <v>5</v>
      </c>
      <c r="B7">
        <f t="shared" si="0"/>
        <v>88109.5693359375</v>
      </c>
      <c r="C7" s="1">
        <f t="shared" si="1"/>
        <v>89239.17919921875</v>
      </c>
      <c r="D7">
        <f t="shared" si="2"/>
        <v>2259.2197265625</v>
      </c>
      <c r="E7" s="1">
        <f t="shared" si="3"/>
        <v>95099.004990000001</v>
      </c>
      <c r="F7" s="1">
        <f t="shared" si="4"/>
        <v>95579.302995000005</v>
      </c>
      <c r="G7" s="1">
        <f t="shared" si="5"/>
        <v>960.59600999999384</v>
      </c>
      <c r="H7" s="4">
        <f t="shared" si="6"/>
        <v>0.48092492210100407</v>
      </c>
      <c r="I7" t="s">
        <v>85</v>
      </c>
      <c r="J7" s="3">
        <f>B2/(B2+E2)</f>
        <v>0.5</v>
      </c>
      <c r="K7" s="2">
        <f>B2/E2</f>
        <v>1</v>
      </c>
      <c r="L7">
        <f>K5/K7</f>
        <v>2.4261258458335999</v>
      </c>
      <c r="M7" s="1">
        <f t="shared" si="7"/>
        <v>3219.8157365624938</v>
      </c>
      <c r="N7" t="s">
        <v>14</v>
      </c>
      <c r="O7" t="s">
        <v>15</v>
      </c>
      <c r="P7" t="s">
        <v>10</v>
      </c>
    </row>
    <row r="8" spans="1:16">
      <c r="C8" s="1"/>
      <c r="F8" s="1"/>
      <c r="I8" t="s">
        <v>86</v>
      </c>
      <c r="J8">
        <f>SUM(C3:C7)/(SUM(C3:C7)+SUM(F3:F7))</f>
        <v>0.49061078155184623</v>
      </c>
      <c r="K8">
        <f>SUM(C3:C7)/SUM(E3:E7)</f>
        <v>0.96799970616593101</v>
      </c>
      <c r="L8">
        <f>K5/K8</f>
        <v>2.5063291139240516</v>
      </c>
      <c r="M8" s="1"/>
      <c r="N8">
        <f>(M3*H3+M4*H4+M5*H5+M6*H6+M7*H7)/SUM(M3:M7)</f>
        <v>0.48871185031335701</v>
      </c>
      <c r="O8">
        <f>N8/(1-N8)</f>
        <v>0.95584427413949935</v>
      </c>
      <c r="P8">
        <f>K5/O8</f>
        <v>2.5382019974098022</v>
      </c>
    </row>
    <row r="9" spans="1:16">
      <c r="A9" t="s">
        <v>11</v>
      </c>
      <c r="B9" s="1">
        <f>B2-B7</f>
        <v>11890.4306640625</v>
      </c>
      <c r="C9" s="1"/>
      <c r="E9" s="1">
        <f>E2-E7</f>
        <v>4900.9950099999987</v>
      </c>
      <c r="F9" s="1"/>
    </row>
    <row r="10" spans="1:16">
      <c r="A10" t="s">
        <v>19</v>
      </c>
      <c r="B10" s="4">
        <f>B9/B2</f>
        <v>0.118904306640625</v>
      </c>
      <c r="C10" s="1"/>
      <c r="E10" s="4">
        <f>E9/E2</f>
        <v>4.9009950099999984E-2</v>
      </c>
      <c r="F10" s="1"/>
      <c r="G10" t="s">
        <v>20</v>
      </c>
      <c r="I10">
        <f>B10/E10</f>
        <v>2.4261258458336004</v>
      </c>
    </row>
    <row r="11" spans="1:16">
      <c r="A11" t="s">
        <v>21</v>
      </c>
      <c r="B11" s="4">
        <f>B9/B7</f>
        <v>0.13495050258079874</v>
      </c>
      <c r="C11" s="1"/>
      <c r="E11" s="4">
        <f>E9/E7</f>
        <v>5.1535712813350211E-2</v>
      </c>
      <c r="F11" s="1"/>
      <c r="G11" t="s">
        <v>22</v>
      </c>
      <c r="I11">
        <f>B11/E11</f>
        <v>2.6185822454723109</v>
      </c>
    </row>
    <row r="12" spans="1:16">
      <c r="A12" t="s">
        <v>23</v>
      </c>
      <c r="B12">
        <f>(B2-B7)/SUM(C2:C7)</f>
        <v>2.5316455696202531E-2</v>
      </c>
      <c r="E12" s="5">
        <f>(E2-E7)/SUM(F2:F7)</f>
        <v>1.0050251256281404E-2</v>
      </c>
      <c r="G12" t="s">
        <v>24</v>
      </c>
      <c r="I12">
        <f>B12/E12</f>
        <v>2.5189873417721529</v>
      </c>
    </row>
  </sheetData>
  <phoneticPr fontId="5" type="noConversion"/>
  <pageMargins left="0.7" right="0.7" top="0.75" bottom="0.75" header="0.3" footer="0.3"/>
  <pageSetup paperSize="9"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2"/>
  <sheetViews>
    <sheetView tabSelected="1" workbookViewId="0">
      <selection activeCell="L23" sqref="L23"/>
    </sheetView>
  </sheetViews>
  <sheetFormatPr defaultColWidth="8.85546875" defaultRowHeight="15"/>
  <cols>
    <col min="1" max="1" width="12" customWidth="1"/>
    <col min="5" max="5" width="11.7109375" customWidth="1"/>
    <col min="8" max="8" width="9.42578125" customWidth="1"/>
    <col min="10" max="11" width="10.28515625" customWidth="1"/>
    <col min="12" max="12" width="22.28515625" customWidth="1"/>
    <col min="16" max="16" width="4.7109375" customWidth="1"/>
  </cols>
  <sheetData>
    <row r="1" spans="1:15" ht="30.75" customHeight="1">
      <c r="A1" s="25" t="s">
        <v>0</v>
      </c>
      <c r="B1" s="93" t="s">
        <v>1</v>
      </c>
      <c r="C1" s="100" t="s">
        <v>2</v>
      </c>
      <c r="D1" s="93" t="s">
        <v>3</v>
      </c>
      <c r="E1" s="98" t="s">
        <v>4</v>
      </c>
      <c r="F1" s="101" t="s">
        <v>2</v>
      </c>
      <c r="G1" s="98" t="s">
        <v>3</v>
      </c>
      <c r="H1" s="25" t="s">
        <v>5</v>
      </c>
      <c r="I1" s="25" t="s">
        <v>87</v>
      </c>
      <c r="J1" t="s">
        <v>7</v>
      </c>
      <c r="K1" s="25"/>
    </row>
    <row r="2" spans="1:15" ht="15.75" thickBot="1">
      <c r="A2">
        <v>0</v>
      </c>
      <c r="B2" s="94">
        <v>10000</v>
      </c>
      <c r="C2" s="94"/>
      <c r="D2" s="94"/>
      <c r="E2" s="96">
        <v>10000</v>
      </c>
      <c r="F2" s="96"/>
      <c r="G2" s="96"/>
    </row>
    <row r="3" spans="1:15">
      <c r="A3">
        <v>1</v>
      </c>
      <c r="B3" s="94">
        <f>B2-0.05*B2</f>
        <v>9500</v>
      </c>
      <c r="C3" s="95">
        <f>(B2+B3)/2</f>
        <v>9750</v>
      </c>
      <c r="D3" s="94">
        <f>B2-B3</f>
        <v>500</v>
      </c>
      <c r="E3" s="99">
        <f>E2-0.01*E2</f>
        <v>9900</v>
      </c>
      <c r="F3" s="99">
        <f>(E2+E3)/2</f>
        <v>9950</v>
      </c>
      <c r="G3" s="99">
        <f>E2-E3</f>
        <v>100</v>
      </c>
      <c r="H3" s="4">
        <f>B3/(B3+E3)</f>
        <v>0.48969072164948452</v>
      </c>
      <c r="I3">
        <f>D3/(D3+G3)</f>
        <v>0.83333333333333337</v>
      </c>
      <c r="J3" s="1">
        <f t="shared" ref="J3:J12" si="0">D3+G3</f>
        <v>600</v>
      </c>
      <c r="K3" s="1"/>
      <c r="L3" s="102" t="s">
        <v>8</v>
      </c>
      <c r="M3" s="103"/>
      <c r="N3" s="103" t="s">
        <v>9</v>
      </c>
      <c r="O3" s="104" t="s">
        <v>10</v>
      </c>
    </row>
    <row r="4" spans="1:15">
      <c r="A4">
        <v>2</v>
      </c>
      <c r="B4" s="94">
        <f t="shared" ref="B4:B12" si="1">B3-0.05*B3</f>
        <v>9025</v>
      </c>
      <c r="C4" s="95">
        <f t="shared" ref="C4:C12" si="2">(B3+B4)/2</f>
        <v>9262.5</v>
      </c>
      <c r="D4" s="95">
        <f>(B3-B4)+D3</f>
        <v>975</v>
      </c>
      <c r="E4" s="99">
        <f t="shared" ref="E4:E12" si="3">E3-0.01*E3</f>
        <v>9801</v>
      </c>
      <c r="F4" s="99">
        <f t="shared" ref="F4:F12" si="4">(E3+E4)/2</f>
        <v>9850.5</v>
      </c>
      <c r="G4" s="99">
        <f>(E3-E4)+G3</f>
        <v>199</v>
      </c>
      <c r="H4" s="4">
        <f t="shared" ref="H4:H12" si="5">B4/(B4+E4)</f>
        <v>0.4793902050355891</v>
      </c>
      <c r="I4">
        <f t="shared" ref="I4:I12" si="6">D4/(D4+G4)</f>
        <v>0.83049403747870532</v>
      </c>
      <c r="J4" s="1">
        <f t="shared" si="0"/>
        <v>1174</v>
      </c>
      <c r="K4" s="1"/>
      <c r="L4" s="105" t="s">
        <v>83</v>
      </c>
      <c r="M4" s="42">
        <f>B15/(B15+E15)</f>
        <v>0.80756372706368251</v>
      </c>
      <c r="N4" s="42">
        <f>B15/E15</f>
        <v>4.1965255029176749</v>
      </c>
      <c r="O4" s="106"/>
    </row>
    <row r="5" spans="1:15">
      <c r="A5">
        <v>3</v>
      </c>
      <c r="B5" s="95">
        <f t="shared" si="1"/>
        <v>8573.75</v>
      </c>
      <c r="C5" s="95">
        <f t="shared" si="2"/>
        <v>8799.375</v>
      </c>
      <c r="D5" s="95">
        <f t="shared" ref="D5:D12" si="7">(B4-B5)+D4</f>
        <v>1426.25</v>
      </c>
      <c r="E5" s="99">
        <f t="shared" si="3"/>
        <v>9702.99</v>
      </c>
      <c r="F5" s="99">
        <f t="shared" si="4"/>
        <v>9751.994999999999</v>
      </c>
      <c r="G5" s="99">
        <f t="shared" ref="G5:G12" si="8">(E4-E5)+G4</f>
        <v>297.01000000000022</v>
      </c>
      <c r="H5" s="4">
        <f t="shared" si="5"/>
        <v>0.46910718213423186</v>
      </c>
      <c r="I5">
        <f t="shared" si="6"/>
        <v>0.82764643756600853</v>
      </c>
      <c r="J5" s="1">
        <f t="shared" si="0"/>
        <v>1723.2600000000002</v>
      </c>
      <c r="K5" s="1"/>
      <c r="L5" s="105" t="s">
        <v>12</v>
      </c>
      <c r="M5" s="42">
        <f>B12/(B12+E12)</f>
        <v>0.3983296954953684</v>
      </c>
      <c r="N5" s="42">
        <f>B12/E12</f>
        <v>0.66203981235757015</v>
      </c>
      <c r="O5" s="106">
        <f>N4/N5</f>
        <v>6.338781179901483</v>
      </c>
    </row>
    <row r="6" spans="1:15">
      <c r="A6">
        <v>4</v>
      </c>
      <c r="B6" s="95">
        <f t="shared" si="1"/>
        <v>8145.0625</v>
      </c>
      <c r="C6" s="95">
        <f t="shared" si="2"/>
        <v>8359.40625</v>
      </c>
      <c r="D6" s="95">
        <f t="shared" si="7"/>
        <v>1854.9375</v>
      </c>
      <c r="E6" s="99">
        <f t="shared" si="3"/>
        <v>9605.9601000000002</v>
      </c>
      <c r="F6" s="99">
        <f t="shared" si="4"/>
        <v>9654.4750500000009</v>
      </c>
      <c r="G6" s="99">
        <f t="shared" si="8"/>
        <v>394.03989999999976</v>
      </c>
      <c r="H6" s="4">
        <f t="shared" si="5"/>
        <v>0.45885032561448036</v>
      </c>
      <c r="I6">
        <f t="shared" si="6"/>
        <v>0.82479152525054289</v>
      </c>
      <c r="J6" s="1">
        <f t="shared" si="0"/>
        <v>2248.9773999999998</v>
      </c>
      <c r="K6" s="1"/>
      <c r="L6" s="105" t="s">
        <v>13</v>
      </c>
      <c r="M6" s="110">
        <f>B2/(B2+E2)</f>
        <v>0.5</v>
      </c>
      <c r="N6" s="111">
        <f>B2/E2</f>
        <v>1</v>
      </c>
      <c r="O6" s="106">
        <f>N4/N6</f>
        <v>4.1965255029176749</v>
      </c>
    </row>
    <row r="7" spans="1:15" ht="15.75" thickBot="1">
      <c r="A7">
        <v>5</v>
      </c>
      <c r="B7" s="95">
        <f t="shared" si="1"/>
        <v>7737.8093749999998</v>
      </c>
      <c r="C7" s="95">
        <f t="shared" si="2"/>
        <v>7941.4359375000004</v>
      </c>
      <c r="D7" s="95">
        <f t="shared" si="7"/>
        <v>2262.1906250000002</v>
      </c>
      <c r="E7" s="99">
        <f t="shared" si="3"/>
        <v>9509.9004989999994</v>
      </c>
      <c r="F7" s="99">
        <f t="shared" si="4"/>
        <v>9557.9302994999998</v>
      </c>
      <c r="G7" s="99">
        <f t="shared" si="8"/>
        <v>490.0995010000006</v>
      </c>
      <c r="H7" s="4">
        <f t="shared" si="5"/>
        <v>0.44862821971885863</v>
      </c>
      <c r="I7">
        <f t="shared" si="6"/>
        <v>0.82193029129807649</v>
      </c>
      <c r="J7" s="1">
        <f t="shared" si="0"/>
        <v>2752.2901260000008</v>
      </c>
      <c r="K7" s="1"/>
      <c r="L7" s="107" t="s">
        <v>16</v>
      </c>
      <c r="M7" s="108">
        <f>SUM(C3:C12)/(SUM(C3:C12)+SUM(F3:F12))</f>
        <v>0.45128347837876925</v>
      </c>
      <c r="N7" s="108">
        <f>SUM(C3:C12)/SUM(F3:F12)</f>
        <v>0.82243464630044827</v>
      </c>
      <c r="O7" s="109">
        <f>N4/N7</f>
        <v>5.1025641025641058</v>
      </c>
    </row>
    <row r="8" spans="1:15">
      <c r="A8">
        <v>6</v>
      </c>
      <c r="B8" s="95">
        <f t="shared" si="1"/>
        <v>7350.91890625</v>
      </c>
      <c r="C8" s="95">
        <f t="shared" si="2"/>
        <v>7544.3641406249999</v>
      </c>
      <c r="D8" s="95">
        <f t="shared" si="7"/>
        <v>2649.08109375</v>
      </c>
      <c r="E8" s="99">
        <f t="shared" si="3"/>
        <v>9414.8014940100002</v>
      </c>
      <c r="F8" s="99">
        <f t="shared" si="4"/>
        <v>9462.3509965049998</v>
      </c>
      <c r="G8" s="99">
        <f t="shared" si="8"/>
        <v>585.19850598999983</v>
      </c>
      <c r="H8" s="4">
        <f t="shared" si="5"/>
        <v>0.43844933177676054</v>
      </c>
      <c r="I8">
        <f t="shared" si="6"/>
        <v>0.81906372410194739</v>
      </c>
      <c r="J8" s="1">
        <f t="shared" si="0"/>
        <v>3234.2795997399999</v>
      </c>
      <c r="K8" s="1"/>
    </row>
    <row r="9" spans="1:15">
      <c r="A9">
        <v>7</v>
      </c>
      <c r="B9" s="95">
        <f t="shared" si="1"/>
        <v>6983.3729609374996</v>
      </c>
      <c r="C9" s="95">
        <f t="shared" si="2"/>
        <v>7167.1459335937498</v>
      </c>
      <c r="D9" s="95">
        <f t="shared" si="7"/>
        <v>3016.6270390625004</v>
      </c>
      <c r="E9" s="99">
        <f t="shared" si="3"/>
        <v>9320.6534790699006</v>
      </c>
      <c r="F9" s="99">
        <f t="shared" si="4"/>
        <v>9367.7274865399504</v>
      </c>
      <c r="G9" s="99">
        <f t="shared" si="8"/>
        <v>679.34652093009936</v>
      </c>
      <c r="H9" s="4">
        <f t="shared" si="5"/>
        <v>0.42832198454986864</v>
      </c>
      <c r="I9">
        <f t="shared" si="6"/>
        <v>0.81619280822683715</v>
      </c>
      <c r="J9" s="1">
        <f t="shared" si="0"/>
        <v>3695.9735599925998</v>
      </c>
      <c r="K9" s="1"/>
    </row>
    <row r="10" spans="1:15">
      <c r="A10">
        <v>8</v>
      </c>
      <c r="B10" s="95">
        <f t="shared" si="1"/>
        <v>6634.2043128906244</v>
      </c>
      <c r="C10" s="95">
        <f t="shared" si="2"/>
        <v>6808.7886369140615</v>
      </c>
      <c r="D10" s="95">
        <f t="shared" si="7"/>
        <v>3365.7956871093756</v>
      </c>
      <c r="E10" s="99">
        <f t="shared" si="3"/>
        <v>9227.4469442792015</v>
      </c>
      <c r="F10" s="99">
        <f t="shared" si="4"/>
        <v>9274.050211674552</v>
      </c>
      <c r="G10" s="99">
        <f t="shared" si="8"/>
        <v>772.55305572079851</v>
      </c>
      <c r="H10" s="4">
        <f t="shared" si="5"/>
        <v>0.41825432959836473</v>
      </c>
      <c r="I10">
        <f t="shared" si="6"/>
        <v>0.81331852298352758</v>
      </c>
      <c r="J10" s="1">
        <f t="shared" si="0"/>
        <v>4138.3487428301742</v>
      </c>
      <c r="K10" s="1"/>
    </row>
    <row r="11" spans="1:15">
      <c r="A11">
        <v>9</v>
      </c>
      <c r="B11" s="95">
        <f t="shared" si="1"/>
        <v>6302.4940972460936</v>
      </c>
      <c r="C11" s="95">
        <f t="shared" si="2"/>
        <v>6468.349205068359</v>
      </c>
      <c r="D11" s="95">
        <f t="shared" si="7"/>
        <v>3697.5059027539064</v>
      </c>
      <c r="E11" s="99">
        <f t="shared" si="3"/>
        <v>9135.1724748364086</v>
      </c>
      <c r="F11" s="99">
        <f t="shared" si="4"/>
        <v>9181.309709557805</v>
      </c>
      <c r="G11" s="99">
        <f t="shared" si="8"/>
        <v>864.82752516359142</v>
      </c>
      <c r="H11" s="4">
        <f t="shared" si="5"/>
        <v>0.40825432184443811</v>
      </c>
      <c r="I11">
        <f t="shared" si="6"/>
        <v>0.8104418410387102</v>
      </c>
      <c r="J11" s="1">
        <f t="shared" si="0"/>
        <v>4562.3334279174978</v>
      </c>
      <c r="K11" s="1"/>
    </row>
    <row r="12" spans="1:15">
      <c r="A12">
        <v>10</v>
      </c>
      <c r="B12" s="95">
        <f t="shared" si="1"/>
        <v>5987.3693923837891</v>
      </c>
      <c r="C12" s="95">
        <f t="shared" si="2"/>
        <v>6144.9317448149413</v>
      </c>
      <c r="D12" s="95">
        <f t="shared" si="7"/>
        <v>4012.6306076162109</v>
      </c>
      <c r="E12" s="99">
        <f t="shared" si="3"/>
        <v>9043.8207500880453</v>
      </c>
      <c r="F12" s="99">
        <f t="shared" si="4"/>
        <v>9089.496612462226</v>
      </c>
      <c r="G12" s="99">
        <f t="shared" si="8"/>
        <v>956.17924991195468</v>
      </c>
      <c r="H12" s="4">
        <f t="shared" si="5"/>
        <v>0.3983296954953684</v>
      </c>
      <c r="I12">
        <f t="shared" si="6"/>
        <v>0.80756372706368251</v>
      </c>
      <c r="J12" s="1">
        <f t="shared" si="0"/>
        <v>4968.8098575281656</v>
      </c>
      <c r="K12" s="1"/>
    </row>
    <row r="13" spans="1:15">
      <c r="B13" s="94"/>
      <c r="C13" s="95">
        <f>SUM(C3:C12)</f>
        <v>78246.296848516111</v>
      </c>
      <c r="D13" s="94"/>
      <c r="E13" s="99"/>
      <c r="F13" s="99">
        <f>SUM(F3:F12)</f>
        <v>95139.835366239553</v>
      </c>
      <c r="G13" s="99"/>
      <c r="H13" s="4"/>
      <c r="J13" s="1"/>
      <c r="K13" s="1"/>
    </row>
    <row r="14" spans="1:15">
      <c r="C14" s="1"/>
      <c r="F14" s="1"/>
    </row>
    <row r="15" spans="1:15" ht="15.75" thickBot="1">
      <c r="A15" t="s">
        <v>11</v>
      </c>
      <c r="B15" s="1">
        <f>B2-B12</f>
        <v>4012.6306076162109</v>
      </c>
      <c r="C15" s="1"/>
      <c r="E15" s="1">
        <f>E2-E12</f>
        <v>956.17924991195468</v>
      </c>
      <c r="F15" s="1"/>
    </row>
    <row r="16" spans="1:15">
      <c r="A16" t="s">
        <v>88</v>
      </c>
      <c r="B16" s="4">
        <f>B15/B2</f>
        <v>0.4012630607616211</v>
      </c>
      <c r="C16" s="1"/>
      <c r="E16" s="4">
        <f>E15/E2</f>
        <v>9.5617924991195466E-2</v>
      </c>
      <c r="F16" s="1"/>
      <c r="G16" s="102" t="s">
        <v>20</v>
      </c>
      <c r="H16" s="103"/>
      <c r="I16" s="104">
        <f>B16/E16</f>
        <v>4.1965255029176749</v>
      </c>
    </row>
    <row r="17" spans="1:13">
      <c r="A17" t="s">
        <v>89</v>
      </c>
      <c r="B17" s="4">
        <f>B15/B12</f>
        <v>0.67018257011509308</v>
      </c>
      <c r="C17" s="1"/>
      <c r="E17" s="4">
        <f>E15/E12</f>
        <v>0.1057273553218805</v>
      </c>
      <c r="F17" s="1"/>
      <c r="G17" s="105" t="s">
        <v>22</v>
      </c>
      <c r="H17" s="42"/>
      <c r="I17" s="106">
        <f>B17/E17</f>
        <v>6.338781179901483</v>
      </c>
    </row>
    <row r="18" spans="1:13" ht="15.75" thickBot="1">
      <c r="A18" t="s">
        <v>90</v>
      </c>
      <c r="B18">
        <f>(B2-B12)/SUM(C2:C12)</f>
        <v>5.128205128205128E-2</v>
      </c>
      <c r="E18" s="5">
        <f>(E2-E12)/SUM(F2:F12)</f>
        <v>1.00502512562814E-2</v>
      </c>
      <c r="G18" s="107" t="s">
        <v>24</v>
      </c>
      <c r="H18" s="108"/>
      <c r="I18" s="109">
        <f>B18/E18</f>
        <v>5.1025641025641058</v>
      </c>
    </row>
    <row r="20" spans="1:13">
      <c r="A20" s="6"/>
      <c r="C20" t="s">
        <v>91</v>
      </c>
      <c r="D20" t="s">
        <v>91</v>
      </c>
      <c r="F20" s="6"/>
    </row>
    <row r="21" spans="1:13">
      <c r="A21" s="1"/>
      <c r="B21" s="1"/>
      <c r="C21" s="1"/>
    </row>
    <row r="22" spans="1:13">
      <c r="M22" s="97"/>
    </row>
  </sheetData>
  <phoneticPr fontId="5" type="noConversion"/>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55"/>
  <sheetViews>
    <sheetView topLeftCell="A2" workbookViewId="0">
      <selection activeCell="C16" sqref="C16"/>
    </sheetView>
  </sheetViews>
  <sheetFormatPr defaultColWidth="8.85546875" defaultRowHeight="15"/>
  <cols>
    <col min="1" max="1" width="18.42578125" customWidth="1"/>
    <col min="6" max="6" width="15" customWidth="1"/>
    <col min="10" max="10" width="9.42578125" customWidth="1"/>
    <col min="12" max="16" width="10.28515625" customWidth="1"/>
    <col min="17" max="17" width="22.28515625" customWidth="1"/>
    <col min="21" max="21" width="4.7109375" customWidth="1"/>
    <col min="22" max="22" width="17" customWidth="1"/>
    <col min="23" max="23" width="15.85546875" customWidth="1"/>
  </cols>
  <sheetData>
    <row r="1" spans="1:24">
      <c r="A1" s="25" t="s">
        <v>0</v>
      </c>
      <c r="B1" s="130" t="s">
        <v>1</v>
      </c>
      <c r="C1" s="131"/>
      <c r="D1" s="131"/>
      <c r="E1" s="44"/>
      <c r="F1" s="130" t="s">
        <v>27</v>
      </c>
      <c r="G1" s="130"/>
      <c r="H1" s="130"/>
      <c r="I1" s="44"/>
    </row>
    <row r="2" spans="1:24" ht="30.75" customHeight="1">
      <c r="B2" s="25" t="s">
        <v>36</v>
      </c>
      <c r="C2" s="25" t="s">
        <v>2</v>
      </c>
      <c r="D2" s="25" t="s">
        <v>3</v>
      </c>
      <c r="E2" s="25"/>
      <c r="F2" s="43" t="s">
        <v>36</v>
      </c>
      <c r="G2" s="25" t="s">
        <v>2</v>
      </c>
      <c r="H2" s="25" t="s">
        <v>3</v>
      </c>
      <c r="I2" s="25"/>
      <c r="J2" s="25" t="s">
        <v>5</v>
      </c>
      <c r="K2" s="25" t="s">
        <v>87</v>
      </c>
      <c r="L2" t="s">
        <v>7</v>
      </c>
      <c r="M2" s="43" t="s">
        <v>92</v>
      </c>
      <c r="N2" s="25" t="s">
        <v>93</v>
      </c>
      <c r="O2" s="25" t="s">
        <v>94</v>
      </c>
      <c r="P2" s="25" t="s">
        <v>95</v>
      </c>
    </row>
    <row r="3" spans="1:24">
      <c r="A3">
        <v>0</v>
      </c>
      <c r="B3">
        <v>10000</v>
      </c>
      <c r="F3">
        <v>10000</v>
      </c>
    </row>
    <row r="4" spans="1:24">
      <c r="A4">
        <v>1</v>
      </c>
      <c r="B4">
        <f>B3-0.05*B3</f>
        <v>9500</v>
      </c>
      <c r="C4" s="1">
        <f>(B3+B4)/2</f>
        <v>9750</v>
      </c>
      <c r="D4">
        <f>B3-B4</f>
        <v>500</v>
      </c>
      <c r="F4" s="1">
        <f>F3-0.01*F3</f>
        <v>9900</v>
      </c>
      <c r="G4" s="1">
        <f t="shared" ref="G4:G13" si="0">(F3+F4)/2</f>
        <v>9950</v>
      </c>
      <c r="H4" s="1">
        <f>F3-F4</f>
        <v>100</v>
      </c>
      <c r="I4" s="1"/>
      <c r="J4" s="4">
        <f t="shared" ref="J4:J13" si="1">B4/(B4+F4)</f>
        <v>0.48969072164948452</v>
      </c>
      <c r="K4">
        <f t="shared" ref="K4:K13" si="2">D4/(D4+H4)</f>
        <v>0.83333333333333337</v>
      </c>
      <c r="L4" s="1">
        <f t="shared" ref="L4:L13" si="3">D4+H4</f>
        <v>600</v>
      </c>
      <c r="M4" s="1">
        <f>L4</f>
        <v>600</v>
      </c>
      <c r="N4" s="1">
        <f>M4*J4</f>
        <v>293.81443298969072</v>
      </c>
      <c r="O4" s="4">
        <f>K4/(1-K4)</f>
        <v>5.0000000000000018</v>
      </c>
      <c r="P4" s="4">
        <f>N4/(M4-N4)</f>
        <v>0.95959595959595956</v>
      </c>
      <c r="Q4" s="45" t="s">
        <v>8</v>
      </c>
      <c r="S4" t="s">
        <v>9</v>
      </c>
      <c r="T4" t="s">
        <v>10</v>
      </c>
      <c r="V4" s="42" t="s">
        <v>96</v>
      </c>
      <c r="W4" t="s">
        <v>97</v>
      </c>
      <c r="X4" t="s">
        <v>10</v>
      </c>
    </row>
    <row r="5" spans="1:24">
      <c r="A5">
        <v>2</v>
      </c>
      <c r="B5">
        <f t="shared" ref="B5:B13" si="4">B4-0.05*B4</f>
        <v>9025</v>
      </c>
      <c r="C5" s="1">
        <f t="shared" ref="C5:C13" si="5">(B4+B5)/2</f>
        <v>9262.5</v>
      </c>
      <c r="D5" s="1">
        <f>(B4-B5)+D4</f>
        <v>975</v>
      </c>
      <c r="E5" s="1"/>
      <c r="F5" s="1">
        <f t="shared" ref="F5:F13" si="6">F4-0.01*F4</f>
        <v>9801</v>
      </c>
      <c r="G5" s="1">
        <f t="shared" si="0"/>
        <v>9850.5</v>
      </c>
      <c r="H5" s="1">
        <f t="shared" ref="H5:H13" si="7">(F4-F5)+H4</f>
        <v>199</v>
      </c>
      <c r="I5" s="1"/>
      <c r="J5" s="4">
        <f t="shared" si="1"/>
        <v>0.4793902050355891</v>
      </c>
      <c r="K5">
        <f t="shared" si="2"/>
        <v>0.83049403747870532</v>
      </c>
      <c r="L5" s="1">
        <f t="shared" si="3"/>
        <v>1174</v>
      </c>
      <c r="M5" s="1">
        <f>L5-L4</f>
        <v>574</v>
      </c>
      <c r="N5" s="1">
        <f t="shared" ref="N5:N13" si="8">M5*J5</f>
        <v>275.16997769042814</v>
      </c>
      <c r="O5" s="4">
        <f t="shared" ref="O5:O13" si="9">K5/(1-K5)</f>
        <v>4.8994974874371868</v>
      </c>
      <c r="P5" s="4">
        <f t="shared" ref="P5:P13" si="10">N5/(M5-N5)</f>
        <v>0.92082440567289059</v>
      </c>
      <c r="Q5" t="s">
        <v>83</v>
      </c>
      <c r="R5">
        <f>B16/(B16+F16)</f>
        <v>0.80756372706368251</v>
      </c>
      <c r="S5" s="46">
        <f>B16/F16</f>
        <v>4.1965255029176749</v>
      </c>
      <c r="V5" s="42">
        <f>(L4*J4+L5*J5+L6*J6+L7*J7+L8*J8+L9*J9+L10*J10+L11*J11+L12*J12+L13*J13)/SUM(L4:L13)</f>
        <v>0.42976931746263064</v>
      </c>
      <c r="W5">
        <f>V5/(1-V5)</f>
        <v>0.75367624125428623</v>
      </c>
      <c r="X5">
        <f>S5/W5</f>
        <v>5.5680745567005214</v>
      </c>
    </row>
    <row r="6" spans="1:24">
      <c r="A6">
        <v>3</v>
      </c>
      <c r="B6" s="1">
        <f t="shared" si="4"/>
        <v>8573.75</v>
      </c>
      <c r="C6" s="1">
        <f t="shared" si="5"/>
        <v>8799.375</v>
      </c>
      <c r="D6" s="1">
        <f t="shared" ref="D6:D13" si="11">(B5-B6)+D5</f>
        <v>1426.25</v>
      </c>
      <c r="E6" s="1"/>
      <c r="F6" s="1">
        <f t="shared" si="6"/>
        <v>9702.99</v>
      </c>
      <c r="G6" s="1">
        <f t="shared" si="0"/>
        <v>9751.994999999999</v>
      </c>
      <c r="H6" s="1">
        <f t="shared" si="7"/>
        <v>297.01000000000022</v>
      </c>
      <c r="I6" s="1"/>
      <c r="J6" s="4">
        <f t="shared" si="1"/>
        <v>0.46910718213423186</v>
      </c>
      <c r="K6">
        <f t="shared" si="2"/>
        <v>0.82764643756600853</v>
      </c>
      <c r="L6" s="1">
        <f t="shared" si="3"/>
        <v>1723.2600000000002</v>
      </c>
      <c r="M6" s="1">
        <f t="shared" ref="M6:M13" si="12">L6-L5</f>
        <v>549.26000000000022</v>
      </c>
      <c r="N6" s="1">
        <f t="shared" si="8"/>
        <v>257.66181085904827</v>
      </c>
      <c r="O6" s="4">
        <f t="shared" si="9"/>
        <v>4.8020268677822271</v>
      </c>
      <c r="P6" s="4">
        <f t="shared" si="10"/>
        <v>0.8836193791810566</v>
      </c>
      <c r="Q6" t="s">
        <v>12</v>
      </c>
      <c r="R6">
        <f>B13/(B13+F13)</f>
        <v>0.3983296954953684</v>
      </c>
      <c r="S6">
        <f>B13/F13</f>
        <v>0.66203981235757015</v>
      </c>
      <c r="T6">
        <f>S5/S6</f>
        <v>6.338781179901483</v>
      </c>
      <c r="V6" s="42" t="s">
        <v>98</v>
      </c>
    </row>
    <row r="7" spans="1:24">
      <c r="A7">
        <v>4</v>
      </c>
      <c r="B7" s="1">
        <f t="shared" si="4"/>
        <v>8145.0625</v>
      </c>
      <c r="C7" s="1">
        <f t="shared" si="5"/>
        <v>8359.40625</v>
      </c>
      <c r="D7" s="1">
        <f t="shared" si="11"/>
        <v>1854.9375</v>
      </c>
      <c r="E7" s="1"/>
      <c r="F7" s="1">
        <f t="shared" si="6"/>
        <v>9605.9601000000002</v>
      </c>
      <c r="G7" s="1">
        <f t="shared" si="0"/>
        <v>9654.4750500000009</v>
      </c>
      <c r="H7" s="1">
        <f t="shared" si="7"/>
        <v>394.03989999999976</v>
      </c>
      <c r="I7" s="1"/>
      <c r="J7" s="4">
        <f t="shared" si="1"/>
        <v>0.45885032561448036</v>
      </c>
      <c r="K7">
        <f t="shared" si="2"/>
        <v>0.82479152525054289</v>
      </c>
      <c r="L7" s="1">
        <f t="shared" si="3"/>
        <v>2248.9773999999998</v>
      </c>
      <c r="M7" s="1">
        <f t="shared" si="12"/>
        <v>525.71739999999954</v>
      </c>
      <c r="N7" s="1">
        <f t="shared" si="8"/>
        <v>241.22560017119781</v>
      </c>
      <c r="O7" s="4">
        <f t="shared" si="9"/>
        <v>4.7074864753544041</v>
      </c>
      <c r="P7" s="4">
        <f t="shared" si="10"/>
        <v>0.84791758608283208</v>
      </c>
      <c r="Q7" t="s">
        <v>13</v>
      </c>
      <c r="R7" s="3">
        <f>B3/(B3+F3)</f>
        <v>0.5</v>
      </c>
      <c r="S7" s="2">
        <f>B3/F3</f>
        <v>1</v>
      </c>
      <c r="T7" s="47">
        <f>S5/S7</f>
        <v>4.1965255029176749</v>
      </c>
    </row>
    <row r="8" spans="1:24">
      <c r="A8">
        <v>5</v>
      </c>
      <c r="B8" s="1">
        <f t="shared" si="4"/>
        <v>7737.8093749999998</v>
      </c>
      <c r="C8" s="1">
        <f t="shared" si="5"/>
        <v>7941.4359375000004</v>
      </c>
      <c r="D8" s="1">
        <f t="shared" si="11"/>
        <v>2262.1906250000002</v>
      </c>
      <c r="E8" s="1"/>
      <c r="F8" s="1">
        <f t="shared" si="6"/>
        <v>9509.9004989999994</v>
      </c>
      <c r="G8" s="1">
        <f t="shared" si="0"/>
        <v>9557.9302994999998</v>
      </c>
      <c r="H8" s="1">
        <f t="shared" si="7"/>
        <v>490.0995010000006</v>
      </c>
      <c r="I8" s="1"/>
      <c r="J8" s="4">
        <f t="shared" si="1"/>
        <v>0.44862821971885863</v>
      </c>
      <c r="K8">
        <f t="shared" si="2"/>
        <v>0.82193029129807649</v>
      </c>
      <c r="L8" s="1">
        <f t="shared" si="3"/>
        <v>2752.2901260000008</v>
      </c>
      <c r="M8" s="1">
        <f t="shared" si="12"/>
        <v>503.31272600000102</v>
      </c>
      <c r="N8" s="1">
        <f t="shared" si="8"/>
        <v>225.80029222722615</v>
      </c>
      <c r="O8" s="4">
        <f t="shared" si="9"/>
        <v>4.6157782662178182</v>
      </c>
      <c r="P8" s="4">
        <f t="shared" si="10"/>
        <v>0.81365828967544473</v>
      </c>
      <c r="Q8" t="s">
        <v>16</v>
      </c>
      <c r="R8">
        <f>C14/(C14+G14)</f>
        <v>0.45128347837876925</v>
      </c>
      <c r="S8">
        <f>C14/G14</f>
        <v>0.82243464630044827</v>
      </c>
      <c r="T8">
        <f>S5/S8</f>
        <v>5.1025641025641058</v>
      </c>
    </row>
    <row r="9" spans="1:24">
      <c r="A9">
        <v>6</v>
      </c>
      <c r="B9" s="1">
        <f t="shared" si="4"/>
        <v>7350.91890625</v>
      </c>
      <c r="C9" s="1">
        <f t="shared" si="5"/>
        <v>7544.3641406249999</v>
      </c>
      <c r="D9" s="1">
        <f t="shared" si="11"/>
        <v>2649.08109375</v>
      </c>
      <c r="E9" s="1"/>
      <c r="F9" s="1">
        <f t="shared" si="6"/>
        <v>9414.8014940100002</v>
      </c>
      <c r="G9" s="1">
        <f t="shared" si="0"/>
        <v>9462.3509965049998</v>
      </c>
      <c r="H9" s="1">
        <f t="shared" si="7"/>
        <v>585.19850598999983</v>
      </c>
      <c r="I9" s="1"/>
      <c r="J9" s="4">
        <f t="shared" si="1"/>
        <v>0.43844933177676054</v>
      </c>
      <c r="K9">
        <f t="shared" si="2"/>
        <v>0.81906372410194739</v>
      </c>
      <c r="L9" s="1">
        <f t="shared" si="3"/>
        <v>3234.2795997399999</v>
      </c>
      <c r="M9" s="1">
        <f t="shared" si="12"/>
        <v>481.98947373999908</v>
      </c>
      <c r="N9" s="1">
        <f t="shared" si="8"/>
        <v>211.32796268473507</v>
      </c>
      <c r="O9" s="4">
        <f t="shared" si="9"/>
        <v>4.5268076842890457</v>
      </c>
      <c r="P9" s="4">
        <f t="shared" si="10"/>
        <v>0.78078320726431572</v>
      </c>
      <c r="Q9" t="s">
        <v>99</v>
      </c>
      <c r="R9">
        <f>N14/M14</f>
        <v>0.44734742558300977</v>
      </c>
      <c r="S9">
        <f>R9/(1-R9)</f>
        <v>0.80945506506493703</v>
      </c>
      <c r="T9">
        <f>S5/S9</f>
        <v>5.184383524218255</v>
      </c>
    </row>
    <row r="10" spans="1:24">
      <c r="A10">
        <v>7</v>
      </c>
      <c r="B10" s="1">
        <f t="shared" si="4"/>
        <v>6983.3729609374996</v>
      </c>
      <c r="C10" s="1">
        <f t="shared" si="5"/>
        <v>7167.1459335937498</v>
      </c>
      <c r="D10" s="1">
        <f t="shared" si="11"/>
        <v>3016.6270390625004</v>
      </c>
      <c r="E10" s="1"/>
      <c r="F10" s="1">
        <f t="shared" si="6"/>
        <v>9320.6534790699006</v>
      </c>
      <c r="G10" s="1">
        <f t="shared" si="0"/>
        <v>9367.7274865399504</v>
      </c>
      <c r="H10" s="1">
        <f t="shared" si="7"/>
        <v>679.34652093009936</v>
      </c>
      <c r="I10" s="1"/>
      <c r="J10" s="4">
        <f t="shared" si="1"/>
        <v>0.42832198454986864</v>
      </c>
      <c r="K10">
        <f t="shared" si="2"/>
        <v>0.81619280822683715</v>
      </c>
      <c r="L10" s="1">
        <f t="shared" si="3"/>
        <v>3695.9735599925998</v>
      </c>
      <c r="M10" s="1">
        <f t="shared" si="12"/>
        <v>461.69396025259994</v>
      </c>
      <c r="N10" s="1">
        <f t="shared" si="8"/>
        <v>197.75367331008178</v>
      </c>
      <c r="O10" s="4">
        <f t="shared" si="9"/>
        <v>4.4404835325165282</v>
      </c>
      <c r="P10" s="4">
        <f t="shared" si="10"/>
        <v>0.74923641101121219</v>
      </c>
    </row>
    <row r="11" spans="1:24">
      <c r="A11">
        <v>8</v>
      </c>
      <c r="B11" s="1">
        <f t="shared" si="4"/>
        <v>6634.2043128906244</v>
      </c>
      <c r="C11" s="1">
        <f t="shared" si="5"/>
        <v>6808.7886369140615</v>
      </c>
      <c r="D11" s="1">
        <f t="shared" si="11"/>
        <v>3365.7956871093756</v>
      </c>
      <c r="E11" s="1"/>
      <c r="F11" s="1">
        <f t="shared" si="6"/>
        <v>9227.4469442792015</v>
      </c>
      <c r="G11" s="1">
        <f t="shared" si="0"/>
        <v>9274.050211674552</v>
      </c>
      <c r="H11" s="1">
        <f t="shared" si="7"/>
        <v>772.55305572079851</v>
      </c>
      <c r="I11" s="1"/>
      <c r="J11" s="4">
        <f t="shared" si="1"/>
        <v>0.41825432959836473</v>
      </c>
      <c r="K11">
        <f t="shared" si="2"/>
        <v>0.81331852298352758</v>
      </c>
      <c r="L11" s="1">
        <f t="shared" si="3"/>
        <v>4138.3487428301742</v>
      </c>
      <c r="M11" s="1">
        <f t="shared" si="12"/>
        <v>442.37518283757436</v>
      </c>
      <c r="N11" s="1">
        <f t="shared" si="8"/>
        <v>185.02533552868368</v>
      </c>
      <c r="O11" s="4">
        <f t="shared" si="9"/>
        <v>4.356717848936678</v>
      </c>
      <c r="P11" s="4">
        <f t="shared" si="10"/>
        <v>0.71896423278853683</v>
      </c>
    </row>
    <row r="12" spans="1:24">
      <c r="A12">
        <v>9</v>
      </c>
      <c r="B12" s="1">
        <f t="shared" si="4"/>
        <v>6302.4940972460936</v>
      </c>
      <c r="C12" s="1">
        <f t="shared" si="5"/>
        <v>6468.349205068359</v>
      </c>
      <c r="D12" s="1">
        <f t="shared" si="11"/>
        <v>3697.5059027539064</v>
      </c>
      <c r="E12" s="1"/>
      <c r="F12" s="1">
        <f t="shared" si="6"/>
        <v>9135.1724748364086</v>
      </c>
      <c r="G12" s="1">
        <f t="shared" si="0"/>
        <v>9181.309709557805</v>
      </c>
      <c r="H12" s="1">
        <f t="shared" si="7"/>
        <v>864.82752516359142</v>
      </c>
      <c r="I12" s="1"/>
      <c r="J12" s="4">
        <f t="shared" si="1"/>
        <v>0.40825432184443811</v>
      </c>
      <c r="K12">
        <f t="shared" si="2"/>
        <v>0.8104418410387102</v>
      </c>
      <c r="L12" s="1">
        <f t="shared" si="3"/>
        <v>4562.3334279174978</v>
      </c>
      <c r="M12" s="1">
        <f t="shared" si="12"/>
        <v>423.98468508732367</v>
      </c>
      <c r="N12" s="1">
        <f t="shared" si="8"/>
        <v>173.09358008275296</v>
      </c>
      <c r="O12" s="4">
        <f t="shared" si="9"/>
        <v>4.2754257874186932</v>
      </c>
      <c r="P12" s="4">
        <f t="shared" si="10"/>
        <v>0.68991517287788884</v>
      </c>
    </row>
    <row r="13" spans="1:24">
      <c r="A13">
        <v>10</v>
      </c>
      <c r="B13" s="1">
        <f t="shared" si="4"/>
        <v>5987.3693923837891</v>
      </c>
      <c r="C13" s="1">
        <f t="shared" si="5"/>
        <v>6144.9317448149413</v>
      </c>
      <c r="D13" s="1">
        <f t="shared" si="11"/>
        <v>4012.6306076162109</v>
      </c>
      <c r="E13" s="1"/>
      <c r="F13" s="1">
        <f t="shared" si="6"/>
        <v>9043.8207500880453</v>
      </c>
      <c r="G13" s="1">
        <f t="shared" si="0"/>
        <v>9089.496612462226</v>
      </c>
      <c r="H13" s="1">
        <f t="shared" si="7"/>
        <v>956.17924991195468</v>
      </c>
      <c r="I13" s="1"/>
      <c r="J13" s="4">
        <f t="shared" si="1"/>
        <v>0.3983296954953684</v>
      </c>
      <c r="K13">
        <f t="shared" si="2"/>
        <v>0.80756372706368251</v>
      </c>
      <c r="L13" s="1">
        <f t="shared" si="3"/>
        <v>4968.8098575281656</v>
      </c>
      <c r="M13" s="1">
        <f t="shared" si="12"/>
        <v>406.47642961066776</v>
      </c>
      <c r="N13" s="1">
        <f t="shared" si="8"/>
        <v>161.91163243286184</v>
      </c>
      <c r="O13" s="4">
        <f t="shared" si="9"/>
        <v>4.196525502917674</v>
      </c>
      <c r="P13" s="4">
        <f t="shared" si="10"/>
        <v>0.66203981235757015</v>
      </c>
    </row>
    <row r="14" spans="1:24">
      <c r="C14" s="1">
        <f>SUM(C4:C13)</f>
        <v>78246.296848516111</v>
      </c>
      <c r="F14" s="1"/>
      <c r="G14" s="1">
        <f>SUM(G4:G13)</f>
        <v>95139.835366239553</v>
      </c>
      <c r="H14" s="1"/>
      <c r="I14" s="1"/>
      <c r="J14" s="4"/>
      <c r="L14" s="1"/>
      <c r="M14" s="1">
        <f>SUM(M4:M13)</f>
        <v>4968.8098575281656</v>
      </c>
      <c r="N14" s="1">
        <f>SUM(N4:N13)</f>
        <v>2222.7842979767065</v>
      </c>
      <c r="O14" s="1"/>
      <c r="P14" s="1"/>
    </row>
    <row r="15" spans="1:24">
      <c r="C15" s="1"/>
      <c r="G15" s="1"/>
      <c r="N15" s="41"/>
      <c r="O15" s="41"/>
      <c r="P15" s="41"/>
      <c r="Q15" s="40"/>
    </row>
    <row r="16" spans="1:24">
      <c r="A16" t="s">
        <v>11</v>
      </c>
      <c r="B16" s="1">
        <f>B3-B13</f>
        <v>4012.6306076162109</v>
      </c>
      <c r="C16" s="1"/>
      <c r="F16" s="1">
        <f>F3-F13</f>
        <v>956.17924991195468</v>
      </c>
      <c r="G16" s="1"/>
      <c r="Q16" s="40"/>
    </row>
    <row r="17" spans="1:17">
      <c r="A17" t="s">
        <v>88</v>
      </c>
      <c r="B17" s="4">
        <f>B16/B3</f>
        <v>0.4012630607616211</v>
      </c>
      <c r="C17" s="1"/>
      <c r="F17" s="4">
        <f>F16/F3</f>
        <v>9.5617924991195466E-2</v>
      </c>
      <c r="G17" s="1"/>
      <c r="H17" t="s">
        <v>20</v>
      </c>
      <c r="K17">
        <f>B17/F17</f>
        <v>4.1965255029176749</v>
      </c>
      <c r="Q17" s="40"/>
    </row>
    <row r="18" spans="1:17">
      <c r="A18" t="s">
        <v>89</v>
      </c>
      <c r="B18" s="4">
        <f>B16/B13</f>
        <v>0.67018257011509308</v>
      </c>
      <c r="C18" s="1"/>
      <c r="F18" s="4">
        <f>F16/F13</f>
        <v>0.1057273553218805</v>
      </c>
      <c r="G18" s="1"/>
      <c r="H18" t="s">
        <v>22</v>
      </c>
      <c r="K18">
        <f>B18/F18</f>
        <v>6.338781179901483</v>
      </c>
    </row>
    <row r="19" spans="1:17">
      <c r="A19" t="s">
        <v>90</v>
      </c>
      <c r="B19">
        <f>(B3-B13)/SUM(C3:C13)</f>
        <v>5.128205128205128E-2</v>
      </c>
      <c r="F19" s="5">
        <f>(F3-F13)/SUM(G3:G13)</f>
        <v>1.00502512562814E-2</v>
      </c>
      <c r="H19" t="s">
        <v>24</v>
      </c>
      <c r="K19">
        <f>B19/F19</f>
        <v>5.1025641025641058</v>
      </c>
    </row>
    <row r="20" spans="1:17">
      <c r="A20" s="42" t="s">
        <v>100</v>
      </c>
      <c r="B20" s="42">
        <f>(B3-B13)/SUM(B3:B12)</f>
        <v>5.000000000000001E-2</v>
      </c>
      <c r="C20" s="42"/>
      <c r="D20" s="42"/>
      <c r="E20" s="42"/>
      <c r="F20" s="42">
        <f>(F3-F13)/SUM(F3:F12)</f>
        <v>9.999999999999995E-3</v>
      </c>
      <c r="G20" s="42"/>
      <c r="H20" s="42" t="s">
        <v>24</v>
      </c>
      <c r="I20" s="42"/>
      <c r="J20" s="42"/>
      <c r="K20" s="42">
        <f>B20/F20</f>
        <v>5.0000000000000036</v>
      </c>
      <c r="L20" s="42"/>
    </row>
    <row r="21" spans="1:17">
      <c r="A21" s="6"/>
      <c r="C21" t="s">
        <v>26</v>
      </c>
      <c r="D21" t="s">
        <v>27</v>
      </c>
      <c r="G21" s="6"/>
    </row>
    <row r="22" spans="1:17">
      <c r="A22" t="s">
        <v>3</v>
      </c>
      <c r="C22">
        <v>4013</v>
      </c>
      <c r="D22">
        <v>956</v>
      </c>
      <c r="F22">
        <f>SUM(C22,D22)</f>
        <v>4969</v>
      </c>
    </row>
    <row r="23" spans="1:17">
      <c r="A23" t="s">
        <v>29</v>
      </c>
    </row>
    <row r="24" spans="1:17">
      <c r="B24" t="s">
        <v>30</v>
      </c>
      <c r="C24">
        <f>(C22+D22)*B13/(B13+F13)</f>
        <v>1979.3002569164855</v>
      </c>
      <c r="D24">
        <f>(C22+D22)-C24</f>
        <v>2989.6997430835145</v>
      </c>
    </row>
    <row r="25" spans="1:17">
      <c r="B25" t="s">
        <v>31</v>
      </c>
      <c r="C25">
        <f>(C22+D22)*B3/(B3+F3)</f>
        <v>2484.5</v>
      </c>
      <c r="D25">
        <f>(C22+D22)-C25</f>
        <v>2484.5</v>
      </c>
    </row>
    <row r="26" spans="1:17">
      <c r="B26" t="s">
        <v>32</v>
      </c>
      <c r="C26">
        <f>(C22+D22)*R8</f>
        <v>2242.4276040641043</v>
      </c>
      <c r="D26">
        <f>(C22+D22)-C26</f>
        <v>2726.5723959358957</v>
      </c>
    </row>
    <row r="27" spans="1:17">
      <c r="B27" t="s">
        <v>101</v>
      </c>
      <c r="C27">
        <v>2223</v>
      </c>
      <c r="D27">
        <f>4969-2223</f>
        <v>2746</v>
      </c>
    </row>
    <row r="28" spans="1:17" ht="30">
      <c r="A28" t="s">
        <v>83</v>
      </c>
      <c r="B28" t="s">
        <v>102</v>
      </c>
      <c r="J28" s="25" t="s">
        <v>2</v>
      </c>
      <c r="K28" t="s">
        <v>2</v>
      </c>
      <c r="L28" t="s">
        <v>103</v>
      </c>
      <c r="M28" t="s">
        <v>104</v>
      </c>
      <c r="N28" t="s">
        <v>105</v>
      </c>
    </row>
    <row r="29" spans="1:17">
      <c r="A29" s="1">
        <f t="shared" ref="A29:A38" si="13">SUM(D4,H4)</f>
        <v>600</v>
      </c>
      <c r="B29" s="1">
        <f>SUM(B4,F4)</f>
        <v>19400</v>
      </c>
      <c r="C29" s="1">
        <f t="shared" ref="C29:C38" si="14">SUM(A29:B29)</f>
        <v>20000</v>
      </c>
      <c r="J29" t="s">
        <v>106</v>
      </c>
      <c r="K29" t="s">
        <v>51</v>
      </c>
    </row>
    <row r="30" spans="1:17">
      <c r="A30" s="1">
        <f t="shared" si="13"/>
        <v>1174</v>
      </c>
      <c r="B30" s="1">
        <f t="shared" ref="B30:B38" si="15">SUM(B5,F5)</f>
        <v>18826</v>
      </c>
      <c r="C30" s="1">
        <f t="shared" si="14"/>
        <v>20000</v>
      </c>
      <c r="J30" s="1">
        <v>9750</v>
      </c>
      <c r="K30">
        <v>9950</v>
      </c>
      <c r="L30">
        <f>K30/(K30+J30)</f>
        <v>0.50507614213197971</v>
      </c>
      <c r="M30" s="1">
        <v>600</v>
      </c>
      <c r="N30">
        <f>L30*M30</f>
        <v>303.04568527918781</v>
      </c>
    </row>
    <row r="31" spans="1:17">
      <c r="A31" s="1">
        <f t="shared" si="13"/>
        <v>1723.2600000000002</v>
      </c>
      <c r="B31" s="1">
        <f t="shared" si="15"/>
        <v>18276.739999999998</v>
      </c>
      <c r="C31" s="1">
        <f t="shared" si="14"/>
        <v>20000</v>
      </c>
      <c r="J31" s="1">
        <v>9262.5</v>
      </c>
      <c r="K31">
        <v>9850.5</v>
      </c>
      <c r="L31">
        <f t="shared" ref="L31:L39" si="16">K31/(K31+J31)</f>
        <v>0.51538220059645268</v>
      </c>
      <c r="M31" s="1">
        <v>574</v>
      </c>
      <c r="N31">
        <f t="shared" ref="N31:N39" si="17">L31*M31</f>
        <v>295.82938314236384</v>
      </c>
    </row>
    <row r="32" spans="1:17">
      <c r="A32" s="1">
        <f t="shared" si="13"/>
        <v>2248.9773999999998</v>
      </c>
      <c r="B32" s="1">
        <f t="shared" si="15"/>
        <v>17751.0226</v>
      </c>
      <c r="C32" s="1">
        <f t="shared" si="14"/>
        <v>20000</v>
      </c>
      <c r="J32" s="1">
        <v>8799.375</v>
      </c>
      <c r="K32">
        <v>9751.994999999999</v>
      </c>
      <c r="L32">
        <f t="shared" si="16"/>
        <v>0.52567519272161567</v>
      </c>
      <c r="M32" s="1">
        <v>549.26000000000022</v>
      </c>
      <c r="N32">
        <f t="shared" si="17"/>
        <v>288.73235635427471</v>
      </c>
    </row>
    <row r="33" spans="1:18">
      <c r="A33" s="1">
        <f t="shared" si="13"/>
        <v>2752.2901260000008</v>
      </c>
      <c r="B33" s="1">
        <f t="shared" si="15"/>
        <v>17247.709874</v>
      </c>
      <c r="C33" s="1">
        <f t="shared" si="14"/>
        <v>20000</v>
      </c>
      <c r="J33" s="1">
        <v>8359.40625</v>
      </c>
      <c r="K33">
        <v>9654.4750500000009</v>
      </c>
      <c r="L33">
        <f t="shared" si="16"/>
        <v>0.53594641205945992</v>
      </c>
      <c r="M33" s="1">
        <v>525.71739999999954</v>
      </c>
      <c r="N33">
        <f t="shared" si="17"/>
        <v>281.75635428722768</v>
      </c>
    </row>
    <row r="34" spans="1:18">
      <c r="A34" s="1">
        <f t="shared" si="13"/>
        <v>3234.2795997399999</v>
      </c>
      <c r="B34" s="1">
        <f t="shared" si="15"/>
        <v>16765.720400260001</v>
      </c>
      <c r="C34" s="1">
        <f t="shared" si="14"/>
        <v>20000</v>
      </c>
      <c r="J34" s="1">
        <v>7941.4359375000004</v>
      </c>
      <c r="K34">
        <v>9557.9302994999998</v>
      </c>
      <c r="L34">
        <f t="shared" si="16"/>
        <v>0.54618722587170454</v>
      </c>
      <c r="M34" s="1">
        <v>503.31272600000102</v>
      </c>
      <c r="N34">
        <f t="shared" si="17"/>
        <v>274.90298155986591</v>
      </c>
    </row>
    <row r="35" spans="1:18">
      <c r="A35" s="1">
        <f t="shared" si="13"/>
        <v>3695.9735599925998</v>
      </c>
      <c r="B35" s="1">
        <f t="shared" si="15"/>
        <v>16304.026440007401</v>
      </c>
      <c r="C35" s="1">
        <f t="shared" si="14"/>
        <v>20000</v>
      </c>
      <c r="J35" s="1">
        <v>7544.3641406249999</v>
      </c>
      <c r="K35">
        <v>9462.3509965049998</v>
      </c>
      <c r="L35">
        <f t="shared" si="16"/>
        <v>0.55638910396319119</v>
      </c>
      <c r="M35" s="1">
        <v>481.98947373999908</v>
      </c>
      <c r="N35">
        <f t="shared" si="17"/>
        <v>268.17369141388815</v>
      </c>
    </row>
    <row r="36" spans="1:18">
      <c r="A36" s="1">
        <f t="shared" si="13"/>
        <v>4138.3487428301742</v>
      </c>
      <c r="B36" s="1">
        <f t="shared" si="15"/>
        <v>15861.651257169826</v>
      </c>
      <c r="C36" s="1">
        <f t="shared" si="14"/>
        <v>20000</v>
      </c>
      <c r="J36" s="1">
        <v>7167.1459335937498</v>
      </c>
      <c r="K36">
        <v>9367.7274865399504</v>
      </c>
      <c r="L36">
        <f t="shared" si="16"/>
        <v>0.56654364678312752</v>
      </c>
      <c r="M36" s="1">
        <v>461.69396025259994</v>
      </c>
      <c r="N36">
        <f t="shared" si="17"/>
        <v>261.56977993925227</v>
      </c>
    </row>
    <row r="37" spans="1:18">
      <c r="A37" s="1">
        <f t="shared" si="13"/>
        <v>4562.3334279174978</v>
      </c>
      <c r="B37" s="1">
        <f t="shared" si="15"/>
        <v>15437.666572082502</v>
      </c>
      <c r="C37" s="1">
        <f t="shared" si="14"/>
        <v>20000</v>
      </c>
      <c r="J37" s="1">
        <v>6808.7886369140615</v>
      </c>
      <c r="K37">
        <v>9274.050211674552</v>
      </c>
      <c r="L37">
        <f t="shared" si="16"/>
        <v>0.57664261259997751</v>
      </c>
      <c r="M37" s="1">
        <v>442.37518283757436</v>
      </c>
      <c r="N37">
        <f t="shared" si="17"/>
        <v>255.09238118085162</v>
      </c>
    </row>
    <row r="38" spans="1:18">
      <c r="A38" s="1">
        <f t="shared" si="13"/>
        <v>4968.8098575281656</v>
      </c>
      <c r="B38" s="1">
        <f t="shared" si="15"/>
        <v>15031.190142471834</v>
      </c>
      <c r="C38" s="1">
        <f t="shared" si="14"/>
        <v>20000</v>
      </c>
      <c r="J38" s="1">
        <v>6468.349205068359</v>
      </c>
      <c r="K38">
        <v>9181.309709557805</v>
      </c>
      <c r="L38">
        <f t="shared" si="16"/>
        <v>0.58667794356699732</v>
      </c>
      <c r="M38" s="1">
        <v>423.98468508732367</v>
      </c>
      <c r="N38">
        <f t="shared" si="17"/>
        <v>248.742463150932</v>
      </c>
    </row>
    <row r="39" spans="1:18">
      <c r="A39" s="1"/>
      <c r="B39" s="1"/>
      <c r="C39" s="1"/>
      <c r="J39" s="1">
        <v>6144.9317448149413</v>
      </c>
      <c r="K39">
        <v>9089.496612462226</v>
      </c>
      <c r="L39">
        <f t="shared" si="16"/>
        <v>0.59664179050869104</v>
      </c>
      <c r="M39" s="1">
        <v>406.47642961066776</v>
      </c>
      <c r="N39">
        <f t="shared" si="17"/>
        <v>242.52082476248873</v>
      </c>
      <c r="Q39" t="s">
        <v>18</v>
      </c>
      <c r="R39" t="s">
        <v>15</v>
      </c>
    </row>
    <row r="40" spans="1:18">
      <c r="M40" s="1">
        <f>SUM(M30:M39)</f>
        <v>4968.8098575281656</v>
      </c>
      <c r="N40">
        <f>SUM(N30:N39)</f>
        <v>2720.3659010703327</v>
      </c>
      <c r="Q40">
        <f>N40/M40</f>
        <v>0.54748842863221037</v>
      </c>
      <c r="R40">
        <f>Q40/(1-Q40)</f>
        <v>1.2098882399345894</v>
      </c>
    </row>
    <row r="42" spans="1:18">
      <c r="A42" s="25"/>
      <c r="B42" s="130"/>
      <c r="C42" s="131"/>
      <c r="D42" s="131"/>
      <c r="E42" s="44"/>
      <c r="F42" s="130"/>
      <c r="G42" s="130"/>
      <c r="H42" s="130"/>
      <c r="I42" s="44"/>
    </row>
    <row r="43" spans="1:18">
      <c r="B43" s="25"/>
      <c r="C43" s="25"/>
      <c r="D43" s="25"/>
      <c r="E43" s="25"/>
      <c r="F43" s="43"/>
      <c r="G43" s="25"/>
      <c r="H43" s="25"/>
      <c r="I43" s="25"/>
      <c r="J43" s="25"/>
      <c r="L43" s="43"/>
      <c r="M43" s="25"/>
    </row>
    <row r="45" spans="1:18">
      <c r="C45" s="1"/>
      <c r="F45" s="1"/>
      <c r="G45" s="1"/>
      <c r="H45" s="1"/>
      <c r="I45" s="1"/>
      <c r="J45" s="4"/>
      <c r="K45" s="1"/>
      <c r="L45" s="1"/>
      <c r="M45" s="1"/>
    </row>
    <row r="46" spans="1:18">
      <c r="C46" s="1"/>
      <c r="D46" s="1"/>
      <c r="E46" s="1"/>
      <c r="F46" s="1"/>
      <c r="G46" s="1"/>
      <c r="H46" s="1"/>
      <c r="I46" s="1"/>
      <c r="J46" s="4"/>
      <c r="K46" s="1"/>
      <c r="L46" s="1"/>
      <c r="M46" s="1"/>
    </row>
    <row r="47" spans="1:18">
      <c r="B47" s="1"/>
      <c r="C47" s="1"/>
      <c r="D47" s="1"/>
      <c r="E47" s="1"/>
      <c r="F47" s="1"/>
      <c r="G47" s="1"/>
      <c r="H47" s="1"/>
      <c r="I47" s="1"/>
      <c r="J47" s="4"/>
      <c r="K47" s="1"/>
      <c r="L47" s="1"/>
      <c r="M47" s="1"/>
    </row>
    <row r="48" spans="1:18">
      <c r="B48" s="1"/>
      <c r="C48" s="1"/>
      <c r="D48" s="1"/>
      <c r="E48" s="1"/>
      <c r="F48" s="1"/>
      <c r="G48" s="1"/>
      <c r="H48" s="1"/>
      <c r="I48" s="1"/>
      <c r="J48" s="4"/>
      <c r="K48" s="1"/>
      <c r="L48" s="1"/>
      <c r="M48" s="1"/>
    </row>
    <row r="49" spans="2:14">
      <c r="B49" s="1"/>
      <c r="C49" s="1"/>
      <c r="D49" s="1"/>
      <c r="E49" s="1"/>
      <c r="F49" s="1"/>
      <c r="G49" s="1"/>
      <c r="H49" s="1"/>
      <c r="I49" s="1"/>
      <c r="J49" s="4"/>
      <c r="K49" s="1"/>
      <c r="L49" s="1"/>
      <c r="M49" s="1"/>
    </row>
    <row r="50" spans="2:14">
      <c r="B50" s="1"/>
      <c r="C50" s="1"/>
      <c r="D50" s="1"/>
      <c r="E50" s="1"/>
      <c r="F50" s="1"/>
      <c r="G50" s="1"/>
      <c r="H50" s="1"/>
      <c r="I50" s="1"/>
      <c r="J50" s="4"/>
      <c r="K50" s="1"/>
      <c r="L50" s="1"/>
      <c r="M50" s="1"/>
    </row>
    <row r="51" spans="2:14">
      <c r="B51" s="1"/>
      <c r="C51" s="1"/>
      <c r="D51" s="1"/>
      <c r="E51" s="1"/>
      <c r="F51" s="1"/>
      <c r="G51" s="1"/>
      <c r="H51" s="1"/>
      <c r="I51" s="1"/>
      <c r="J51" s="4"/>
      <c r="K51" s="1"/>
      <c r="L51" s="1"/>
      <c r="M51" s="1"/>
    </row>
    <row r="52" spans="2:14">
      <c r="B52" s="1"/>
      <c r="C52" s="1"/>
      <c r="D52" s="1"/>
      <c r="E52" s="1"/>
      <c r="F52" s="1"/>
      <c r="G52" s="1"/>
      <c r="H52" s="1"/>
      <c r="I52" s="1"/>
      <c r="J52" s="4"/>
      <c r="K52" s="1"/>
      <c r="L52" s="1"/>
      <c r="M52" s="1"/>
    </row>
    <row r="53" spans="2:14">
      <c r="B53" s="1"/>
      <c r="C53" s="1"/>
      <c r="D53" s="1"/>
      <c r="E53" s="1"/>
      <c r="F53" s="1"/>
      <c r="G53" s="1"/>
      <c r="H53" s="1"/>
      <c r="I53" s="1"/>
      <c r="J53" s="4"/>
      <c r="K53" s="1"/>
      <c r="L53" s="1"/>
      <c r="M53" s="1"/>
    </row>
    <row r="54" spans="2:14">
      <c r="B54" s="1"/>
      <c r="C54" s="1"/>
      <c r="D54" s="1"/>
      <c r="E54" s="1"/>
      <c r="F54" s="1"/>
      <c r="G54" s="1"/>
      <c r="H54" s="1"/>
      <c r="I54" s="1"/>
      <c r="J54" s="4"/>
      <c r="K54" s="1"/>
      <c r="L54" s="1"/>
      <c r="M54" s="1"/>
    </row>
    <row r="55" spans="2:14">
      <c r="C55" s="1"/>
      <c r="F55" s="1"/>
      <c r="G55" s="1"/>
      <c r="H55" s="1"/>
      <c r="I55" s="1"/>
      <c r="J55" s="4"/>
      <c r="L55" s="1"/>
      <c r="M55" s="1"/>
      <c r="N55" s="1"/>
    </row>
  </sheetData>
  <mergeCells count="4">
    <mergeCell ref="B1:D1"/>
    <mergeCell ref="F1:H1"/>
    <mergeCell ref="B42:D42"/>
    <mergeCell ref="F42:H42"/>
  </mergeCells>
  <phoneticPr fontId="5" type="noConversion"/>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 Online</Application>
  <Manager/>
  <Company>MEB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 Reilly</dc:creator>
  <cp:keywords/>
  <dc:description/>
  <cp:lastModifiedBy>jane.zhd1509@gmail.com</cp:lastModifiedBy>
  <cp:revision/>
  <dcterms:created xsi:type="dcterms:W3CDTF">2019-05-06T18:55:45Z</dcterms:created>
  <dcterms:modified xsi:type="dcterms:W3CDTF">2022-06-03T10:40:21Z</dcterms:modified>
  <cp:category/>
  <cp:contentStatus/>
</cp:coreProperties>
</file>